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<sst xmlns="http://schemas.openxmlformats.org/spreadsheetml/2006/main" count="166" uniqueCount="113">
  <si>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</si>
  <si>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</si>
  <si>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</si>
  <si>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</si>
  <si>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</si>
  <si>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</si>
  <si>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</si>
  <si>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</si>
  <si>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</si>
  <si>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</si>
  <si>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</si>
  <si>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</si>
  <si>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</si>
  <si>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</si>
  <si>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</si>
  <si>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</si>
  <si>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</si>
  <si>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</si>
  <si>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</si>
  <si>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</si>
  <si>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</si>
  <si>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</si>
  <si>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</si>
  <si>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</si>
  <si>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</si>
  <si>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</si>
  <si>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</si>
  <si>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</si>
  <si>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</si>
  <si>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</si>
  <si>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</si>
  <si>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</si>
  <si>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</si>
  <si>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</si>
  <si>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</si>
  <si>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</si>
  <si>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</si>
  <si>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</si>
  <si>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</si>
  <si>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</si>
  <si>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</si>
  <si>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</si>
  <si>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</si>
  <si>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</si>
  <si>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</si>
  <si>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</si>
  <si>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</si>
  <si>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</si>
  <si>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</si>
  <si>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</si>
  <si>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</si>
  <si>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</si>
  <si>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</si>
  <si>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</si>
  <si>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</si>
  <si>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</si>
  <si>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</si>
  <si>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</si>
  <si>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</si>
  <si>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</si>
  <si>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</si>
  <si>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</si>
  <si>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</si>
  <si>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</si>
  <si>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</si>
  <si>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</si>
  <si>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</si>
  <si>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</si>
  <si>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</si>
  <si>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</si>
  <si>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</si>
  <si>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</si>
  <si>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</si>
  <si>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</si>
  <si>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</si>
  <si>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</si>
  <si>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</si>
  <si>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</si>
  <si>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</si>
  <si>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</si>
  <si>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</si>
  <si>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</si>
  <si>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</si>
  <si>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</si>
  <si>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</si>
  <si>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</si>
  <si>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</si>
  <si>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</si>
  <si>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</si>
  <si>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</si>
  <si>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</si>
  <si>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</si>
  <si>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</si>
  <si>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</si>
  <si>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</si>
  <si>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</si>
  <si>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</si>
  <si>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</si>
  <si>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</si>
  <si>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</si>
  <si>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</si>
  <si>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</si>
  <si>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</si>
  <si>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</si>
  <si>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</si>
  <si>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</si>
  <si>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</si>
  <si>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</si>
  <si>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</si>
  <si>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</si>
  <si>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</si>
  <si>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</si>
  <si>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26.06.2018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</si>
</sst>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102247.99999999997</c:v>
                </c:pt>
                <c:pt idx="1">
                  <c:v>97696.60999999997</c:v>
                </c:pt>
                <c:pt idx="2">
                  <c:v>1229.5000000000002</c:v>
                </c:pt>
                <c:pt idx="3">
                  <c:v>3321.8899999999994</c:v>
                </c:pt>
              </c:numCache>
            </c:numRef>
          </c:val>
          <c:shape val="box"/>
        </c:ser>
        <c:shape val="box"/>
        <c:axId val="13475292"/>
        <c:axId val="54168765"/>
      </c:bar3D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68765"/>
        <c:crosses val="autoZero"/>
        <c:auto val="1"/>
        <c:lblOffset val="100"/>
        <c:tickLblSkip val="1"/>
        <c:noMultiLvlLbl val="0"/>
      </c:catAx>
      <c:valAx>
        <c:axId val="54168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446228.5</c:v>
                </c:pt>
                <c:pt idx="1">
                  <c:v>160368.8</c:v>
                </c:pt>
                <c:pt idx="2">
                  <c:v>367801.40000000014</c:v>
                </c:pt>
                <c:pt idx="3">
                  <c:v>21.3</c:v>
                </c:pt>
                <c:pt idx="4">
                  <c:v>14993.699999999995</c:v>
                </c:pt>
                <c:pt idx="5">
                  <c:v>50853.39999999999</c:v>
                </c:pt>
                <c:pt idx="6">
                  <c:v>6467.5999999999985</c:v>
                </c:pt>
                <c:pt idx="7">
                  <c:v>6091.099999999875</c:v>
                </c:pt>
              </c:numCache>
            </c:numRef>
          </c:val>
          <c:shape val="box"/>
        </c:ser>
        <c:shape val="box"/>
        <c:axId val="17756838"/>
        <c:axId val="25593815"/>
      </c:bar3D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3815"/>
        <c:crosses val="autoZero"/>
        <c:auto val="1"/>
        <c:lblOffset val="100"/>
        <c:tickLblSkip val="1"/>
        <c:noMultiLvlLbl val="0"/>
      </c:catAx>
      <c:valAx>
        <c:axId val="25593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56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204027.99999999997</c:v>
                </c:pt>
                <c:pt idx="1">
                  <c:v>132645.3</c:v>
                </c:pt>
                <c:pt idx="2">
                  <c:v>204027.99999999997</c:v>
                </c:pt>
              </c:numCache>
            </c:numRef>
          </c:val>
          <c:shape val="box"/>
        </c:ser>
        <c:shape val="box"/>
        <c:axId val="29017744"/>
        <c:axId val="59833105"/>
      </c:bar3D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3105"/>
        <c:crosses val="autoZero"/>
        <c:auto val="1"/>
        <c:lblOffset val="100"/>
        <c:tickLblSkip val="1"/>
        <c:noMultiLvlLbl val="0"/>
      </c:catAx>
      <c:valAx>
        <c:axId val="59833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10875.9</c:v>
                </c:pt>
                <c:pt idx="1">
                  <c:v>6107.000000000001</c:v>
                </c:pt>
                <c:pt idx="2">
                  <c:v>59.6</c:v>
                </c:pt>
                <c:pt idx="3">
                  <c:v>978.0999999999999</c:v>
                </c:pt>
                <c:pt idx="4">
                  <c:v>320.4</c:v>
                </c:pt>
                <c:pt idx="5">
                  <c:v>34.2</c:v>
                </c:pt>
                <c:pt idx="6">
                  <c:v>3376.599999999999</c:v>
                </c:pt>
              </c:numCache>
            </c:numRef>
          </c:val>
          <c:shape val="box"/>
        </c:ser>
        <c:shape val="box"/>
        <c:axId val="1627034"/>
        <c:axId val="14643307"/>
      </c:bar3D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43307"/>
        <c:crosses val="autoZero"/>
        <c:auto val="1"/>
        <c:lblOffset val="100"/>
        <c:tickLblSkip val="1"/>
        <c:noMultiLvlLbl val="0"/>
      </c:catAx>
      <c:valAx>
        <c:axId val="14643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15373.499999999995</c:v>
                </c:pt>
                <c:pt idx="1">
                  <c:v>9373.6</c:v>
                </c:pt>
                <c:pt idx="3">
                  <c:v>436.8</c:v>
                </c:pt>
                <c:pt idx="4">
                  <c:v>495.10000000000014</c:v>
                </c:pt>
                <c:pt idx="5">
                  <c:v>660</c:v>
                </c:pt>
                <c:pt idx="6">
                  <c:v>4407.999999999994</c:v>
                </c:pt>
              </c:numCache>
            </c:numRef>
          </c:val>
          <c:shape val="box"/>
        </c:ser>
        <c:shape val="box"/>
        <c:axId val="64680900"/>
        <c:axId val="45257189"/>
      </c:bar3D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57189"/>
        <c:crosses val="autoZero"/>
        <c:auto val="1"/>
        <c:lblOffset val="100"/>
        <c:tickLblSkip val="2"/>
        <c:noMultiLvlLbl val="0"/>
      </c:catAx>
      <c:valAx>
        <c:axId val="45257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1831.7</c:v>
                </c:pt>
                <c:pt idx="1">
                  <c:v>1435.7000000000003</c:v>
                </c:pt>
                <c:pt idx="3">
                  <c:v>221.89999999999995</c:v>
                </c:pt>
                <c:pt idx="4">
                  <c:v>0</c:v>
                </c:pt>
                <c:pt idx="5">
                  <c:v>174.09999999999982</c:v>
                </c:pt>
              </c:numCache>
            </c:numRef>
          </c:val>
          <c:shape val="box"/>
        </c:ser>
        <c:shape val="box"/>
        <c:axId val="4661518"/>
        <c:axId val="41953663"/>
      </c:bar3D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18619.500000000004</c:v>
                </c:pt>
              </c:numCache>
            </c:numRef>
          </c:val>
          <c:shape val="box"/>
        </c:ser>
        <c:shape val="box"/>
        <c:axId val="42038648"/>
        <c:axId val="42803513"/>
      </c:bar3D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03513"/>
        <c:crosses val="autoZero"/>
        <c:auto val="1"/>
        <c:lblOffset val="100"/>
        <c:tickLblSkip val="1"/>
        <c:noMultiLvlLbl val="0"/>
      </c:catAx>
      <c:valAx>
        <c:axId val="42803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446228.5</c:v>
                </c:pt>
                <c:pt idx="1">
                  <c:v>204027.99999999997</c:v>
                </c:pt>
                <c:pt idx="2">
                  <c:v>10875.9</c:v>
                </c:pt>
                <c:pt idx="3">
                  <c:v>15373.499999999995</c:v>
                </c:pt>
                <c:pt idx="4">
                  <c:v>1831.7</c:v>
                </c:pt>
                <c:pt idx="5">
                  <c:v>102247.99999999997</c:v>
                </c:pt>
                <c:pt idx="6">
                  <c:v>18619.500000000004</c:v>
                </c:pt>
              </c:numCache>
            </c:numRef>
          </c:val>
          <c:shape val="box"/>
        </c:ser>
        <c:shape val="box"/>
        <c:axId val="49687298"/>
        <c:axId val="44532499"/>
      </c:bar3D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2499"/>
        <c:crosses val="autoZero"/>
        <c:auto val="1"/>
        <c:lblOffset val="100"/>
        <c:tickLblSkip val="1"/>
        <c:noMultiLvlLbl val="0"/>
      </c:catAx>
      <c:valAx>
        <c:axId val="44532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1083927.4999999995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489425.51000000007</c:v>
                </c:pt>
                <c:pt idx="1">
                  <c:v>60759.69999999998</c:v>
                </c:pt>
                <c:pt idx="2">
                  <c:v>15524.499999999995</c:v>
                </c:pt>
                <c:pt idx="3">
                  <c:v>13621.2</c:v>
                </c:pt>
                <c:pt idx="4">
                  <c:v>21.3</c:v>
                </c:pt>
                <c:pt idx="5">
                  <c:v>420379.2899999999</c:v>
                </c:pt>
              </c:numCache>
            </c:numRef>
          </c:val>
          <c:shape val="box"/>
        </c:ser>
        <c:shape val="box"/>
        <c:axId val="65248172"/>
        <c:axId val="50362637"/>
      </c:bar3D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49" sqref="L149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109</v>
      </c>
      <c r="C3" s="169" t="s">
        <v>106</v>
      </c>
      <c r="D3" s="169" t="s">
        <v>22</v>
      </c>
      <c r="E3" s="169" t="s">
        <v>21</v>
      </c>
      <c r="F3" s="169" t="s">
        <v>110</v>
      </c>
      <c r="G3" s="169" t="s">
        <v>107</v>
      </c>
      <c r="H3" s="169" t="s">
        <v>111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10" ht="39" customHeight="1" thickBot="1">
      <c r="A5" s="174"/>
      <c r="B5" s="177"/>
      <c r="C5" s="171"/>
      <c r="D5" s="171"/>
      <c r="E5" s="171"/>
      <c r="F5" s="171"/>
      <c r="G5" s="171"/>
      <c r="H5" s="171"/>
      <c r="I5" s="171"/>
      <c r="J5" s="166"/>
    </row>
    <row r="6" spans="1:11" ht="18.75" thickBot="1">
      <c r="A6" s="20" t="s">
        <v>26</v>
      </c>
      <c r="B6" s="38">
        <f>478344.1+20.8</f>
        <v>478364.89999999997</v>
      </c>
      <c r="C6" s="39">
        <f>826775+13431.5+510-13431.5+16-2334+20.8</f>
        <v>824987.8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</f>
        <v>446228.5</v>
      </c>
      <c r="E6" s="3">
        <f>D6/D154*100</f>
        <v>44.634834453050644</v>
      </c>
      <c r="F6" s="3">
        <f>D6/B6*100</f>
        <v>93.28203218923463</v>
      </c>
      <c r="G6" s="3">
        <f aca="true" t="shared" si="0" ref="G6:G43">D6/C6*100</f>
        <v>54.089102893400366</v>
      </c>
      <c r="H6" s="40">
        <f>B6-D6</f>
        <v>32136.399999999965</v>
      </c>
      <c r="I6" s="40">
        <f aca="true" t="shared" si="1" ref="I6:I43">C6-D6</f>
        <v>378759.30000000005</v>
      </c>
      <c r="J6" s="166"/>
      <c r="K6" s="153"/>
    </row>
    <row r="7" spans="1:12" s="94" customFormat="1" ht="18.75">
      <c r="A7" s="140" t="s">
        <v>81</v>
      </c>
      <c r="B7" s="141">
        <v>163866.5</v>
      </c>
      <c r="C7" s="142">
        <v>262517.6</v>
      </c>
      <c r="D7" s="143">
        <f>8282.7+10875.2+9132.6+9963.6+4.3+9215.1+9968.6+9459.9+11450.4+9572.3+23759.4-0.1+3644+36528.9+8511.9</f>
        <v>160368.8</v>
      </c>
      <c r="E7" s="144">
        <f>D7/D6*100</f>
        <v>35.93871749563284</v>
      </c>
      <c r="F7" s="144">
        <f>D7/B7*100</f>
        <v>97.86551857762264</v>
      </c>
      <c r="G7" s="144">
        <f>D7/C7*100</f>
        <v>61.088780333204326</v>
      </c>
      <c r="H7" s="143">
        <f>B7-D7</f>
        <v>3497.7000000000116</v>
      </c>
      <c r="I7" s="143">
        <f t="shared" si="1"/>
        <v>102148.79999999999</v>
      </c>
      <c r="J7" s="167"/>
      <c r="K7" s="153"/>
      <c r="L7" s="139"/>
    </row>
    <row r="8" spans="1:12" s="93" customFormat="1" ht="18">
      <c r="A8" s="102" t="s">
        <v>3</v>
      </c>
      <c r="B8" s="126">
        <f>381419.8+97.3</f>
        <v>381517.1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</f>
        <v>367801.40000000014</v>
      </c>
      <c r="E8" s="106">
        <f>D8/D6*100</f>
        <v>82.4244529428309</v>
      </c>
      <c r="F8" s="106">
        <f>D8/B8*100</f>
        <v>96.40495799532974</v>
      </c>
      <c r="G8" s="106">
        <f t="shared" si="0"/>
        <v>56.09829457562978</v>
      </c>
      <c r="H8" s="104">
        <f>B8-D8</f>
        <v>13715.699999999837</v>
      </c>
      <c r="I8" s="104">
        <f t="shared" si="1"/>
        <v>287835.9999999999</v>
      </c>
      <c r="J8" s="166"/>
      <c r="K8" s="153">
        <f>H18-H19</f>
        <v>7652.000000000029</v>
      </c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3.4+5.4+0.8+4.1+3.6+0.3+0.3+3.4</f>
        <v>21.3</v>
      </c>
      <c r="E9" s="128">
        <f>D9/D6*100</f>
        <v>0.004773339219704703</v>
      </c>
      <c r="F9" s="106">
        <f>D9/B9*100</f>
        <v>69.15584415584416</v>
      </c>
      <c r="G9" s="106">
        <f t="shared" si="0"/>
        <v>21.8014329580348</v>
      </c>
      <c r="H9" s="104">
        <f aca="true" t="shared" si="2" ref="H9:H43">B9-D9</f>
        <v>9.5</v>
      </c>
      <c r="I9" s="104">
        <f t="shared" si="1"/>
        <v>76.4</v>
      </c>
      <c r="J9" s="166"/>
      <c r="K9" s="153"/>
      <c r="L9" s="139"/>
    </row>
    <row r="10" spans="1:12" s="93" customFormat="1" ht="18">
      <c r="A10" s="102" t="s">
        <v>1</v>
      </c>
      <c r="B10" s="126">
        <f>23709.2+12.6</f>
        <v>23721.8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</f>
        <v>14993.699999999995</v>
      </c>
      <c r="E10" s="106">
        <f>D10/D6*100</f>
        <v>3.3600946600228347</v>
      </c>
      <c r="F10" s="106">
        <f aca="true" t="shared" si="3" ref="F10:F41">D10/B10*100</f>
        <v>63.2064177254677</v>
      </c>
      <c r="G10" s="106">
        <f t="shared" si="0"/>
        <v>33.783595003334696</v>
      </c>
      <c r="H10" s="104">
        <f t="shared" si="2"/>
        <v>8728.100000000004</v>
      </c>
      <c r="I10" s="104">
        <f t="shared" si="1"/>
        <v>29387.90000000001</v>
      </c>
      <c r="J10" s="166"/>
      <c r="K10" s="153"/>
      <c r="L10" s="139"/>
    </row>
    <row r="11" spans="1:12" s="93" customFormat="1" ht="18">
      <c r="A11" s="102" t="s">
        <v>0</v>
      </c>
      <c r="B11" s="126">
        <f>52258.5-97.3</f>
        <v>52161.2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</f>
        <v>50853.39999999999</v>
      </c>
      <c r="E11" s="106">
        <f>D11/D6*100</f>
        <v>11.396268951893477</v>
      </c>
      <c r="F11" s="106">
        <f t="shared" si="3"/>
        <v>97.4927724055428</v>
      </c>
      <c r="G11" s="106">
        <f t="shared" si="0"/>
        <v>57.674964047706524</v>
      </c>
      <c r="H11" s="104">
        <f t="shared" si="2"/>
        <v>1307.8000000000102</v>
      </c>
      <c r="I11" s="104">
        <f t="shared" si="1"/>
        <v>37319.00000000001</v>
      </c>
      <c r="J11" s="166"/>
      <c r="K11" s="153"/>
      <c r="L11" s="139"/>
    </row>
    <row r="12" spans="1:12" s="93" customFormat="1" ht="18">
      <c r="A12" s="102" t="s">
        <v>14</v>
      </c>
      <c r="B12" s="126">
        <v>6519.6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</f>
        <v>6467.5999999999985</v>
      </c>
      <c r="E12" s="106">
        <f>D12/D6*100</f>
        <v>1.4493919595005695</v>
      </c>
      <c r="F12" s="106">
        <f t="shared" si="3"/>
        <v>99.20240505552485</v>
      </c>
      <c r="G12" s="106">
        <f t="shared" si="0"/>
        <v>50.77406186214475</v>
      </c>
      <c r="H12" s="104">
        <f>B12-D12</f>
        <v>52.00000000000182</v>
      </c>
      <c r="I12" s="104">
        <f t="shared" si="1"/>
        <v>6270.4000000000015</v>
      </c>
      <c r="J12" s="166"/>
      <c r="K12" s="153">
        <f>H18-H19</f>
        <v>7652.000000000029</v>
      </c>
      <c r="L12" s="139"/>
    </row>
    <row r="13" spans="1:12" s="93" customFormat="1" ht="18.75" thickBot="1">
      <c r="A13" s="102" t="s">
        <v>27</v>
      </c>
      <c r="B13" s="127">
        <f>B6-B8-B9-B10-B11-B12</f>
        <v>14414.399999999985</v>
      </c>
      <c r="C13" s="127">
        <f>C6-C8-C9-C10-C11-C12</f>
        <v>23960.70000000001</v>
      </c>
      <c r="D13" s="127">
        <f>D6-D8-D9-D10-D11-D12</f>
        <v>6091.099999999875</v>
      </c>
      <c r="E13" s="106">
        <f>D13/D6*100</f>
        <v>1.365018146532522</v>
      </c>
      <c r="F13" s="106">
        <f t="shared" si="3"/>
        <v>42.257048507047685</v>
      </c>
      <c r="G13" s="106">
        <f t="shared" si="0"/>
        <v>25.421210565634023</v>
      </c>
      <c r="H13" s="104">
        <f t="shared" si="2"/>
        <v>8323.30000000011</v>
      </c>
      <c r="I13" s="104">
        <f t="shared" si="1"/>
        <v>17869.600000000137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7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7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7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7"/>
      <c r="K17" s="11"/>
      <c r="L17" s="11"/>
      <c r="M17" s="11"/>
    </row>
    <row r="18" spans="1:11" ht="18.75" thickBot="1">
      <c r="A18" s="20" t="s">
        <v>19</v>
      </c>
      <c r="B18" s="38">
        <f>211802.5+185.6</f>
        <v>211988.1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</f>
        <v>204027.99999999997</v>
      </c>
      <c r="E18" s="3">
        <f>D18/D154*100</f>
        <v>20.408279623078794</v>
      </c>
      <c r="F18" s="3">
        <f>D18/B18*100</f>
        <v>96.24502507452067</v>
      </c>
      <c r="G18" s="3">
        <f t="shared" si="0"/>
        <v>47.99671785143478</v>
      </c>
      <c r="H18" s="40">
        <f>B18-D18</f>
        <v>7960.100000000035</v>
      </c>
      <c r="I18" s="40">
        <f t="shared" si="1"/>
        <v>221059.4</v>
      </c>
      <c r="J18" s="166"/>
      <c r="K18" s="153"/>
    </row>
    <row r="19" spans="1:13" s="94" customFormat="1" ht="18.75">
      <c r="A19" s="140" t="s">
        <v>82</v>
      </c>
      <c r="B19" s="141">
        <f>132767.8+185.6</f>
        <v>132953.4</v>
      </c>
      <c r="C19" s="142">
        <f>226186+750.3+185.6</f>
        <v>227121.9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</f>
        <v>132645.3</v>
      </c>
      <c r="E19" s="144">
        <f>D19/D18*100</f>
        <v>65.01328249063855</v>
      </c>
      <c r="F19" s="144">
        <f t="shared" si="3"/>
        <v>99.76826467017766</v>
      </c>
      <c r="G19" s="144">
        <f t="shared" si="0"/>
        <v>58.40269036143145</v>
      </c>
      <c r="H19" s="143">
        <f t="shared" si="2"/>
        <v>308.1000000000058</v>
      </c>
      <c r="I19" s="143">
        <f t="shared" si="1"/>
        <v>94476.6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211988.1</v>
      </c>
      <c r="C25" s="127">
        <f>C18</f>
        <v>425087.39999999997</v>
      </c>
      <c r="D25" s="127">
        <f>D18</f>
        <v>204027.99999999997</v>
      </c>
      <c r="E25" s="106">
        <f>D25/D18*100</f>
        <v>100</v>
      </c>
      <c r="F25" s="106">
        <f t="shared" si="3"/>
        <v>96.24502507452067</v>
      </c>
      <c r="G25" s="106">
        <f t="shared" si="0"/>
        <v>47.99671785143478</v>
      </c>
      <c r="H25" s="104">
        <f t="shared" si="2"/>
        <v>7960.100000000035</v>
      </c>
      <c r="I25" s="104">
        <f t="shared" si="1"/>
        <v>221059.4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f>12240.8-17.2</f>
        <v>12223.599999999999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</f>
        <v>10875.9</v>
      </c>
      <c r="E33" s="3">
        <f>D33/D154*100</f>
        <v>1.087882096342868</v>
      </c>
      <c r="F33" s="3">
        <f>D33/B33*100</f>
        <v>88.97460649890377</v>
      </c>
      <c r="G33" s="3">
        <f t="shared" si="0"/>
        <v>43.87584264903441</v>
      </c>
      <c r="H33" s="40">
        <f t="shared" si="2"/>
        <v>1347.699999999999</v>
      </c>
      <c r="I33" s="40">
        <f t="shared" si="1"/>
        <v>13911.999999999998</v>
      </c>
      <c r="J33" s="165"/>
      <c r="K33" s="153"/>
    </row>
    <row r="34" spans="1:11" s="93" customFormat="1" ht="18">
      <c r="A34" s="102" t="s">
        <v>3</v>
      </c>
      <c r="B34" s="126">
        <v>6385.5</v>
      </c>
      <c r="C34" s="127">
        <v>12906.6</v>
      </c>
      <c r="D34" s="104">
        <f>364.6+548.1+389.3+522.2+63+395+556.7+63+391.3+512.8+63+394.6+664.3+89.8+0.3+456.7+632.3</f>
        <v>6107.000000000001</v>
      </c>
      <c r="E34" s="106">
        <f>D34/D33*100</f>
        <v>56.15167480392428</v>
      </c>
      <c r="F34" s="106">
        <f t="shared" si="3"/>
        <v>95.6385561036724</v>
      </c>
      <c r="G34" s="106">
        <f t="shared" si="0"/>
        <v>47.31687663675949</v>
      </c>
      <c r="H34" s="104">
        <f t="shared" si="2"/>
        <v>278.4999999999991</v>
      </c>
      <c r="I34" s="104">
        <f t="shared" si="1"/>
        <v>6799.599999999999</v>
      </c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0.5480006252356128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1014.6</v>
      </c>
      <c r="C36" s="127">
        <v>1783</v>
      </c>
      <c r="D36" s="104">
        <f>0.3+11.3+141.7+12.6+0.9+12.9+1.3+0.5+169.4+1.1+0.1+0.4+11.3+166.1+3.8+5.1+2.9+0.2+0.5+11.9+319.9+44.3+12.2+0.9-0.2+8.4+29.5+8.6+0.2</f>
        <v>978.0999999999999</v>
      </c>
      <c r="E36" s="106">
        <f>D36/D33*100</f>
        <v>8.993278717163635</v>
      </c>
      <c r="F36" s="106">
        <f t="shared" si="3"/>
        <v>96.40252316183717</v>
      </c>
      <c r="G36" s="106">
        <f t="shared" si="0"/>
        <v>54.856982613572626</v>
      </c>
      <c r="H36" s="104">
        <f t="shared" si="2"/>
        <v>36.500000000000114</v>
      </c>
      <c r="I36" s="104">
        <f t="shared" si="1"/>
        <v>804.9000000000001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44.8+25.1+1.6+0.5+2.7+1+6.3+8.5+2.5+36.6+1.5+4.5+23.6+4.1+106.1+32.6+9.7+2.5+4.3+1.9</f>
        <v>320.4</v>
      </c>
      <c r="E37" s="112">
        <f>D37/D33*100</f>
        <v>2.945963092709569</v>
      </c>
      <c r="F37" s="112">
        <f t="shared" si="3"/>
        <v>96.88539461747807</v>
      </c>
      <c r="G37" s="112">
        <f t="shared" si="0"/>
        <v>31.785714285714285</v>
      </c>
      <c r="H37" s="108">
        <f t="shared" si="2"/>
        <v>10.300000000000011</v>
      </c>
      <c r="I37" s="108">
        <f t="shared" si="1"/>
        <v>687.6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0.31445673461506635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4398.999999999998</v>
      </c>
      <c r="C39" s="126">
        <f>C33-C34-C36-C37-C35-C38</f>
        <v>8919.699999999997</v>
      </c>
      <c r="D39" s="126">
        <f>D33-D34-D36-D37-D35-D38</f>
        <v>3376.599999999999</v>
      </c>
      <c r="E39" s="106">
        <f>D39/D33*100</f>
        <v>31.04662602635183</v>
      </c>
      <c r="F39" s="106">
        <f t="shared" si="3"/>
        <v>76.7583541714026</v>
      </c>
      <c r="G39" s="106">
        <f t="shared" si="0"/>
        <v>37.855533257844996</v>
      </c>
      <c r="H39" s="104">
        <f>B39-D39</f>
        <v>1022.3999999999992</v>
      </c>
      <c r="I39" s="104">
        <f t="shared" si="1"/>
        <v>5543.0999999999985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f>1153.7-36</f>
        <v>1117.7</v>
      </c>
      <c r="C43" s="39">
        <f>1126.9+467</f>
        <v>1593.9</v>
      </c>
      <c r="D43" s="40">
        <f>63.9+1.1+0.6+70.8+0.5+48+6.7+2+13.7+10.4+20.2+0.7+37.4+27+181.7+0.2+2.1</f>
        <v>486.99999999999994</v>
      </c>
      <c r="E43" s="3">
        <f>D43/D154*100</f>
        <v>0.04871307946183549</v>
      </c>
      <c r="F43" s="3">
        <f>D43/B43*100</f>
        <v>43.571620291670385</v>
      </c>
      <c r="G43" s="3">
        <f t="shared" si="0"/>
        <v>30.5539870757262</v>
      </c>
      <c r="H43" s="40">
        <f t="shared" si="2"/>
        <v>630.7</v>
      </c>
      <c r="I43" s="40">
        <f t="shared" si="1"/>
        <v>1106.9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6805.3</v>
      </c>
      <c r="C45" s="39">
        <v>13576.3</v>
      </c>
      <c r="D45" s="40">
        <f>237.1+562.8+52.3+349.2+679.9+375.9+891+78.3+327.4+13.5+670.2+386.5+179.9+781.7-0.1+25.5+366.5+16.5+692.2</f>
        <v>6686.299999999999</v>
      </c>
      <c r="E45" s="3">
        <f>D45/D154*100</f>
        <v>0.6688095753709871</v>
      </c>
      <c r="F45" s="3">
        <f>D45/B45*100</f>
        <v>98.25136290832144</v>
      </c>
      <c r="G45" s="3">
        <f aca="true" t="shared" si="5" ref="G45:G76">D45/C45*100</f>
        <v>49.249795599684745</v>
      </c>
      <c r="H45" s="40">
        <f>B45-D45</f>
        <v>119.00000000000091</v>
      </c>
      <c r="I45" s="40">
        <f aca="true" t="shared" si="6" ref="I45:I77">C45-D45</f>
        <v>6890</v>
      </c>
      <c r="J45" s="93"/>
      <c r="K45" s="153"/>
    </row>
    <row r="46" spans="1:11" s="93" customFormat="1" ht="18">
      <c r="A46" s="102" t="s">
        <v>3</v>
      </c>
      <c r="B46" s="126">
        <v>6036.4</v>
      </c>
      <c r="C46" s="127">
        <v>12256.4</v>
      </c>
      <c r="D46" s="104">
        <f>237.1+551.8+334.1+652.5+314.7+746.1+319.2+661.7+342.8+781.7+0.2-0.1+366.5+692.2</f>
        <v>6000.499999999999</v>
      </c>
      <c r="E46" s="106">
        <f>D46/D45*100</f>
        <v>89.74320625757144</v>
      </c>
      <c r="F46" s="106">
        <f aca="true" t="shared" si="7" ref="F46:F74">D46/B46*100</f>
        <v>99.40527466702007</v>
      </c>
      <c r="G46" s="106">
        <f t="shared" si="5"/>
        <v>48.958095362422895</v>
      </c>
      <c r="H46" s="104">
        <f aca="true" t="shared" si="8" ref="H46:H74">B46-D46</f>
        <v>35.900000000000546</v>
      </c>
      <c r="I46" s="104">
        <f t="shared" si="6"/>
        <v>6255.900000000001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49</v>
      </c>
      <c r="C48" s="127">
        <v>98.9</v>
      </c>
      <c r="D48" s="104">
        <f>5.7+6.1+6.5+7.7+8.4</f>
        <v>34.4</v>
      </c>
      <c r="E48" s="106">
        <f>D48/D45*100</f>
        <v>0.5144848421398981</v>
      </c>
      <c r="F48" s="106">
        <f t="shared" si="7"/>
        <v>70.20408163265306</v>
      </c>
      <c r="G48" s="106">
        <f t="shared" si="5"/>
        <v>34.78260869565217</v>
      </c>
      <c r="H48" s="104">
        <f t="shared" si="8"/>
        <v>14.600000000000001</v>
      </c>
      <c r="I48" s="104">
        <f t="shared" si="6"/>
        <v>64.5</v>
      </c>
      <c r="K48" s="153"/>
    </row>
    <row r="49" spans="1:11" s="93" customFormat="1" ht="18">
      <c r="A49" s="102" t="s">
        <v>0</v>
      </c>
      <c r="B49" s="126">
        <v>562.4</v>
      </c>
      <c r="C49" s="127">
        <v>879.8</v>
      </c>
      <c r="D49" s="104">
        <f>7.3+51.9+12.7-0.1+54.5+131.2+49.5+2.4+7.9+11.2+178.3+0.4+4.1</f>
        <v>511.29999999999995</v>
      </c>
      <c r="E49" s="106">
        <f>D49/D45*100</f>
        <v>7.6469796449456355</v>
      </c>
      <c r="F49" s="106">
        <f t="shared" si="7"/>
        <v>90.9139402560455</v>
      </c>
      <c r="G49" s="106">
        <f t="shared" si="5"/>
        <v>58.11548079108888</v>
      </c>
      <c r="H49" s="104">
        <f t="shared" si="8"/>
        <v>51.10000000000002</v>
      </c>
      <c r="I49" s="104">
        <f t="shared" si="6"/>
        <v>368.5</v>
      </c>
      <c r="K49" s="153"/>
    </row>
    <row r="50" spans="1:11" s="93" customFormat="1" ht="18.75" thickBot="1">
      <c r="A50" s="102" t="s">
        <v>27</v>
      </c>
      <c r="B50" s="127">
        <f>B45-B46-B49-B48-B47</f>
        <v>156.70000000000056</v>
      </c>
      <c r="C50" s="127">
        <f>C45-C46-C49-C48-C47</f>
        <v>339.6999999999997</v>
      </c>
      <c r="D50" s="127">
        <f>D45-D46-D49-D48-D47</f>
        <v>140.10000000000022</v>
      </c>
      <c r="E50" s="106">
        <f>D50/D45*100</f>
        <v>2.0953292553430183</v>
      </c>
      <c r="F50" s="106">
        <f t="shared" si="7"/>
        <v>89.40650925335018</v>
      </c>
      <c r="G50" s="106">
        <f t="shared" si="5"/>
        <v>41.242272593464925</v>
      </c>
      <c r="H50" s="104">
        <f t="shared" si="8"/>
        <v>16.600000000000335</v>
      </c>
      <c r="I50" s="104">
        <f t="shared" si="6"/>
        <v>199.59999999999948</v>
      </c>
      <c r="K50" s="153"/>
    </row>
    <row r="51" spans="1:11" ht="18.75" thickBot="1">
      <c r="A51" s="20" t="s">
        <v>4</v>
      </c>
      <c r="B51" s="38">
        <v>17581.2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</f>
        <v>15373.499999999995</v>
      </c>
      <c r="E51" s="3">
        <f>D51/D154*100</f>
        <v>1.537762889335786</v>
      </c>
      <c r="F51" s="3">
        <f>D51/B51*100</f>
        <v>87.44283666643912</v>
      </c>
      <c r="G51" s="3">
        <f t="shared" si="5"/>
        <v>41.37176595962258</v>
      </c>
      <c r="H51" s="40">
        <f>B51-D51</f>
        <v>2207.700000000006</v>
      </c>
      <c r="I51" s="40">
        <f t="shared" si="6"/>
        <v>21785.90000000001</v>
      </c>
      <c r="J51" s="93"/>
      <c r="K51" s="153"/>
    </row>
    <row r="52" spans="1:11" s="93" customFormat="1" ht="18">
      <c r="A52" s="102" t="s">
        <v>3</v>
      </c>
      <c r="B52" s="126">
        <v>10635</v>
      </c>
      <c r="C52" s="127">
        <v>20097.4</v>
      </c>
      <c r="D52" s="104">
        <f>632.9+34.3+767.3+737.6+710.6+649.6+792.4+1.6+643.1+825.6+650.1+947+1196.1+785.4</f>
        <v>9373.6</v>
      </c>
      <c r="E52" s="106">
        <f>D52/D51*100</f>
        <v>60.97245259700136</v>
      </c>
      <c r="F52" s="106">
        <f t="shared" si="7"/>
        <v>88.13916314057359</v>
      </c>
      <c r="G52" s="106">
        <f t="shared" si="5"/>
        <v>46.64085901658921</v>
      </c>
      <c r="H52" s="104">
        <f t="shared" si="8"/>
        <v>1261.3999999999996</v>
      </c>
      <c r="I52" s="104">
        <f t="shared" si="6"/>
        <v>10723.800000000001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501</v>
      </c>
      <c r="C54" s="127">
        <v>993.6</v>
      </c>
      <c r="D54" s="104">
        <f>0.2+4.2+9+4.7+9.6+6.3+43.2+2.7+18.4+3.8+23.8+5.3+12.2+43.2+26.7+3.8+22.4+0.4+59.7+30.3+3.3+19.2+7+2.9+21+4.4-0.4+4.8+2.2+3.6+32.5+6.4</f>
        <v>436.8</v>
      </c>
      <c r="E54" s="106">
        <f>D54/D51*100</f>
        <v>2.841252805151723</v>
      </c>
      <c r="F54" s="106">
        <f t="shared" si="7"/>
        <v>87.18562874251498</v>
      </c>
      <c r="G54" s="106">
        <f t="shared" si="5"/>
        <v>43.96135265700483</v>
      </c>
      <c r="H54" s="104">
        <f t="shared" si="8"/>
        <v>64.19999999999999</v>
      </c>
      <c r="I54" s="104">
        <f t="shared" si="6"/>
        <v>556.8</v>
      </c>
      <c r="K54" s="153"/>
    </row>
    <row r="55" spans="1:11" s="93" customFormat="1" ht="18">
      <c r="A55" s="102" t="s">
        <v>0</v>
      </c>
      <c r="B55" s="126">
        <v>605.6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</f>
        <v>495.10000000000014</v>
      </c>
      <c r="E55" s="106">
        <f>D55/D51*100</f>
        <v>3.2204767944840165</v>
      </c>
      <c r="F55" s="106">
        <f t="shared" si="7"/>
        <v>81.7536327608983</v>
      </c>
      <c r="G55" s="106">
        <f t="shared" si="5"/>
        <v>40.58529387654727</v>
      </c>
      <c r="H55" s="104">
        <f t="shared" si="8"/>
        <v>110.49999999999989</v>
      </c>
      <c r="I55" s="104">
        <f t="shared" si="6"/>
        <v>724.8</v>
      </c>
      <c r="K55" s="153"/>
    </row>
    <row r="56" spans="1:11" s="93" customFormat="1" ht="18">
      <c r="A56" s="102" t="s">
        <v>14</v>
      </c>
      <c r="B56" s="126">
        <v>660</v>
      </c>
      <c r="C56" s="127">
        <v>1320</v>
      </c>
      <c r="D56" s="127">
        <f>110+110+110+110+110+110</f>
        <v>660</v>
      </c>
      <c r="E56" s="106">
        <f>D56/D51*100</f>
        <v>4.293101766025955</v>
      </c>
      <c r="F56" s="106">
        <f>D56/B56*100</f>
        <v>100</v>
      </c>
      <c r="G56" s="106">
        <f>D56/C56*100</f>
        <v>50</v>
      </c>
      <c r="H56" s="104">
        <f t="shared" si="8"/>
        <v>0</v>
      </c>
      <c r="I56" s="104">
        <f t="shared" si="6"/>
        <v>660</v>
      </c>
      <c r="K56" s="153"/>
    </row>
    <row r="57" spans="1:11" s="93" customFormat="1" ht="18.75" thickBot="1">
      <c r="A57" s="102" t="s">
        <v>27</v>
      </c>
      <c r="B57" s="127">
        <f>B51-B52-B55-B54-B53-B56</f>
        <v>5179.6</v>
      </c>
      <c r="C57" s="127">
        <f>C51-C52-C55-C54-C53-C56</f>
        <v>13514.6</v>
      </c>
      <c r="D57" s="127">
        <f>D51-D52-D55-D54-D53-D56</f>
        <v>4407.999999999994</v>
      </c>
      <c r="E57" s="106">
        <f>D57/D51*100</f>
        <v>28.672716037336944</v>
      </c>
      <c r="F57" s="106">
        <f t="shared" si="7"/>
        <v>85.10309676422877</v>
      </c>
      <c r="G57" s="106">
        <f t="shared" si="5"/>
        <v>32.616577627158726</v>
      </c>
      <c r="H57" s="104">
        <f>B57-D57</f>
        <v>771.6000000000067</v>
      </c>
      <c r="I57" s="104">
        <f>C57-D57</f>
        <v>9106.600000000006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f>3979.5+32.4</f>
        <v>4011.9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</f>
        <v>1831.7</v>
      </c>
      <c r="E59" s="3">
        <f>D59/D154*100</f>
        <v>0.18321919435368397</v>
      </c>
      <c r="F59" s="3">
        <f>D59/B59*100</f>
        <v>45.65667140257733</v>
      </c>
      <c r="G59" s="3">
        <f t="shared" si="5"/>
        <v>19.08696830127337</v>
      </c>
      <c r="H59" s="40">
        <f>B59-D59</f>
        <v>2180.2</v>
      </c>
      <c r="I59" s="40">
        <f t="shared" si="6"/>
        <v>7764.900000000001</v>
      </c>
      <c r="J59" s="93"/>
      <c r="K59" s="153"/>
    </row>
    <row r="60" spans="1:11" s="93" customFormat="1" ht="18">
      <c r="A60" s="102" t="s">
        <v>3</v>
      </c>
      <c r="B60" s="126">
        <v>1564.4</v>
      </c>
      <c r="C60" s="127">
        <v>3119.7</v>
      </c>
      <c r="D60" s="104">
        <f>77.7+79.1+76.9+40.5+47.3+155.9+45+29.2+85.8+95.3+38.3+30.7+89.8+79.1+80.7+178.9+50.9+35.4+119.2</f>
        <v>1435.7000000000003</v>
      </c>
      <c r="E60" s="106">
        <f>D60/D59*100</f>
        <v>78.38073920401814</v>
      </c>
      <c r="F60" s="106">
        <f t="shared" si="7"/>
        <v>91.77320378419843</v>
      </c>
      <c r="G60" s="106">
        <f t="shared" si="5"/>
        <v>46.02045068436069</v>
      </c>
      <c r="H60" s="104">
        <f t="shared" si="8"/>
        <v>128.69999999999982</v>
      </c>
      <c r="I60" s="104">
        <f t="shared" si="6"/>
        <v>1683.9999999999995</v>
      </c>
      <c r="K60" s="153"/>
    </row>
    <row r="61" spans="1:11" s="93" customFormat="1" ht="18">
      <c r="A61" s="102" t="s">
        <v>1</v>
      </c>
      <c r="B61" s="126">
        <f>263.2+32.4</f>
        <v>295.59999999999997</v>
      </c>
      <c r="C61" s="127">
        <f>360.7+32.4</f>
        <v>393.09999999999997</v>
      </c>
      <c r="D61" s="104"/>
      <c r="E61" s="106">
        <f>D61/D59*100</f>
        <v>0</v>
      </c>
      <c r="F61" s="106">
        <f>D61/B61*100</f>
        <v>0</v>
      </c>
      <c r="G61" s="106">
        <f t="shared" si="5"/>
        <v>0</v>
      </c>
      <c r="H61" s="104">
        <f t="shared" si="8"/>
        <v>295.59999999999997</v>
      </c>
      <c r="I61" s="104">
        <f t="shared" si="6"/>
        <v>393.09999999999997</v>
      </c>
      <c r="K61" s="153"/>
    </row>
    <row r="62" spans="1:11" s="93" customFormat="1" ht="18">
      <c r="A62" s="102" t="s">
        <v>0</v>
      </c>
      <c r="B62" s="126">
        <v>239.7</v>
      </c>
      <c r="C62" s="127">
        <v>393.7</v>
      </c>
      <c r="D62" s="104">
        <f>10.9+43.2+13-3+39.2+5.7+50.2+3.5+0.2+29.7+2.5+1.8+22+0.1+0.7+2.1+0.1</f>
        <v>221.89999999999995</v>
      </c>
      <c r="E62" s="106">
        <f>D62/D59*100</f>
        <v>12.114429218758527</v>
      </c>
      <c r="F62" s="106">
        <f t="shared" si="7"/>
        <v>92.5740508969545</v>
      </c>
      <c r="G62" s="106">
        <f t="shared" si="5"/>
        <v>56.36271272542543</v>
      </c>
      <c r="H62" s="104">
        <f t="shared" si="8"/>
        <v>17.80000000000004</v>
      </c>
      <c r="I62" s="104">
        <f t="shared" si="6"/>
        <v>171.80000000000004</v>
      </c>
      <c r="K62" s="153"/>
    </row>
    <row r="63" spans="1:11" s="93" customFormat="1" ht="18">
      <c r="A63" s="102" t="s">
        <v>14</v>
      </c>
      <c r="B63" s="126">
        <v>1633.1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1633.1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279.1000000000003</v>
      </c>
      <c r="C64" s="127">
        <f>C59-C60-C62-C63-C61</f>
        <v>823.5000000000005</v>
      </c>
      <c r="D64" s="127">
        <f>D59-D60-D62-D63-D61</f>
        <v>174.09999999999982</v>
      </c>
      <c r="E64" s="106">
        <f>D64/D59*100</f>
        <v>9.504831577223333</v>
      </c>
      <c r="F64" s="106">
        <f t="shared" si="7"/>
        <v>62.37907560014319</v>
      </c>
      <c r="G64" s="106">
        <f t="shared" si="5"/>
        <v>21.141469338190618</v>
      </c>
      <c r="H64" s="104">
        <f t="shared" si="8"/>
        <v>105.00000000000048</v>
      </c>
      <c r="I64" s="104">
        <f t="shared" si="6"/>
        <v>649.4000000000007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295.20000000000005</v>
      </c>
      <c r="C69" s="39">
        <f>C70+C71</f>
        <v>438.8</v>
      </c>
      <c r="D69" s="40">
        <f>D70+D71</f>
        <v>227</v>
      </c>
      <c r="E69" s="30">
        <f>D69/D154*100</f>
        <v>0.02270609658693359</v>
      </c>
      <c r="F69" s="3">
        <f>D69/B69*100</f>
        <v>76.89701897018969</v>
      </c>
      <c r="G69" s="3">
        <f t="shared" si="5"/>
        <v>51.73199635369189</v>
      </c>
      <c r="H69" s="40">
        <f>B69-D69</f>
        <v>68.20000000000005</v>
      </c>
      <c r="I69" s="40">
        <f t="shared" si="6"/>
        <v>211.8</v>
      </c>
      <c r="J69" s="93"/>
      <c r="K69" s="153"/>
    </row>
    <row r="70" spans="1:11" s="93" customFormat="1" ht="18">
      <c r="A70" s="102" t="s">
        <v>8</v>
      </c>
      <c r="B70" s="126">
        <f>256.1+36-12-53.1</f>
        <v>227.00000000000003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99.99999999999999</v>
      </c>
      <c r="G70" s="106">
        <f t="shared" si="5"/>
        <v>99.73637961335677</v>
      </c>
      <c r="H70" s="104">
        <f t="shared" si="8"/>
        <v>0</v>
      </c>
      <c r="I70" s="104">
        <f t="shared" si="6"/>
        <v>0.5999999999999943</v>
      </c>
      <c r="K70" s="153"/>
    </row>
    <row r="71" spans="1:11" s="93" customFormat="1" ht="18.75" thickBot="1">
      <c r="A71" s="102" t="s">
        <v>9</v>
      </c>
      <c r="B71" s="126">
        <f>106.1-37.9</f>
        <v>68.19999999999999</v>
      </c>
      <c r="C71" s="127">
        <f>293.1-30-14-37.9</f>
        <v>211.20000000000002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68.19999999999999</v>
      </c>
      <c r="I71" s="104">
        <f t="shared" si="6"/>
        <v>211.20000000000002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17000-13500-1000</f>
        <v>2500</v>
      </c>
      <c r="D77" s="54"/>
      <c r="E77" s="34"/>
      <c r="F77" s="34"/>
      <c r="G77" s="34"/>
      <c r="H77" s="54">
        <f>B77-D77</f>
        <v>0</v>
      </c>
      <c r="I77" s="54">
        <f t="shared" si="6"/>
        <v>2500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4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4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4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4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f>109554.8+50+40</f>
        <v>109644.8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</f>
        <v>102247.99999999997</v>
      </c>
      <c r="E90" s="3">
        <f>D90/D154*100</f>
        <v>10.227546096126808</v>
      </c>
      <c r="F90" s="3">
        <f aca="true" t="shared" si="11" ref="F90:F96">D90/B90*100</f>
        <v>93.25385243987856</v>
      </c>
      <c r="G90" s="3">
        <f t="shared" si="9"/>
        <v>50.40852657801492</v>
      </c>
      <c r="H90" s="40">
        <f aca="true" t="shared" si="12" ref="H90:H96">B90-D90</f>
        <v>7396.800000000032</v>
      </c>
      <c r="I90" s="40">
        <f t="shared" si="10"/>
        <v>100590.70000000004</v>
      </c>
      <c r="J90" s="93"/>
      <c r="K90" s="153"/>
    </row>
    <row r="91" spans="1:11" s="93" customFormat="1" ht="18">
      <c r="A91" s="102" t="s">
        <v>3</v>
      </c>
      <c r="B91" s="126">
        <f>102192.2+45.2+122</f>
        <v>102359.4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</f>
        <v>97696.60999999997</v>
      </c>
      <c r="E91" s="106">
        <f>D91/D90*100</f>
        <v>95.54867576871919</v>
      </c>
      <c r="F91" s="106">
        <f t="shared" si="11"/>
        <v>95.44468803060586</v>
      </c>
      <c r="G91" s="106">
        <f t="shared" si="9"/>
        <v>51.431909843103526</v>
      </c>
      <c r="H91" s="104">
        <f t="shared" si="12"/>
        <v>4662.790000000023</v>
      </c>
      <c r="I91" s="104">
        <f t="shared" si="10"/>
        <v>92256.69000000002</v>
      </c>
      <c r="K91" s="153"/>
    </row>
    <row r="92" spans="1:11" s="93" customFormat="1" ht="18">
      <c r="A92" s="102" t="s">
        <v>25</v>
      </c>
      <c r="B92" s="126">
        <v>1536.1</v>
      </c>
      <c r="C92" s="127">
        <v>2776.4</v>
      </c>
      <c r="D92" s="104">
        <f>57.2+3.4+167+1.4+0.3+83.4+86.9+53.1+5.3+4.7+17+71.3+284.2+22.2+4.8+1.6+54.8+7+38.2+1.9+190+51.9+21+0.9</f>
        <v>1229.5000000000002</v>
      </c>
      <c r="E92" s="106">
        <f>D92/D90*100</f>
        <v>1.202468507941476</v>
      </c>
      <c r="F92" s="106">
        <f t="shared" si="11"/>
        <v>80.04036195560187</v>
      </c>
      <c r="G92" s="106">
        <f t="shared" si="9"/>
        <v>44.2839648465639</v>
      </c>
      <c r="H92" s="104">
        <f t="shared" si="12"/>
        <v>306.5999999999997</v>
      </c>
      <c r="I92" s="104">
        <f t="shared" si="10"/>
        <v>1546.8999999999999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5749.300000000008</v>
      </c>
      <c r="C94" s="127">
        <f>C90-C91-C92-C93</f>
        <v>10109.000000000024</v>
      </c>
      <c r="D94" s="127">
        <f>D90-D91-D92-D93</f>
        <v>3321.8899999999994</v>
      </c>
      <c r="E94" s="106">
        <f>D94/D90*100</f>
        <v>3.248855723339332</v>
      </c>
      <c r="F94" s="106">
        <f t="shared" si="11"/>
        <v>57.7790339693527</v>
      </c>
      <c r="G94" s="106">
        <f>D94/C94*100</f>
        <v>32.860718171925924</v>
      </c>
      <c r="H94" s="104">
        <f t="shared" si="12"/>
        <v>2427.410000000009</v>
      </c>
      <c r="I94" s="104">
        <f>C94-D94</f>
        <v>6787.110000000024</v>
      </c>
      <c r="K94" s="153"/>
    </row>
    <row r="95" spans="1:11" ht="18.75">
      <c r="A95" s="82" t="s">
        <v>12</v>
      </c>
      <c r="B95" s="91">
        <f>23556.9-312.7-1000-40+6</f>
        <v>22210.2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</f>
        <v>18619.500000000004</v>
      </c>
      <c r="E95" s="81">
        <f>D95/D154*100</f>
        <v>1.8624500678432163</v>
      </c>
      <c r="F95" s="83">
        <f t="shared" si="11"/>
        <v>83.83310370910664</v>
      </c>
      <c r="G95" s="80">
        <f>D95/C95*100</f>
        <v>39.28288869900947</v>
      </c>
      <c r="H95" s="84">
        <f t="shared" si="12"/>
        <v>3590.699999999997</v>
      </c>
      <c r="I95" s="87">
        <f>C95-D95</f>
        <v>28778.999999999996</v>
      </c>
      <c r="J95" s="93"/>
      <c r="K95" s="153"/>
    </row>
    <row r="96" spans="1:11" s="93" customFormat="1" ht="18.75" thickBot="1">
      <c r="A96" s="129" t="s">
        <v>83</v>
      </c>
      <c r="B96" s="130">
        <f>6483.7+6</f>
        <v>6489.7</v>
      </c>
      <c r="C96" s="131">
        <v>12814.2</v>
      </c>
      <c r="D96" s="132">
        <f>194.6+1234+3.4+0.5+79.6+1026.4+0.7+86.4+939.3+4.2+87.7+624.7+8+489.4+90.3+1.9+597.9+5.5+67.2+2.1+31.9+0.2</f>
        <v>5575.899999999998</v>
      </c>
      <c r="E96" s="133">
        <f>D96/D95*100</f>
        <v>29.946561400682064</v>
      </c>
      <c r="F96" s="134">
        <f t="shared" si="11"/>
        <v>85.91922585019334</v>
      </c>
      <c r="G96" s="135">
        <f>D96/C96*100</f>
        <v>43.51344602082064</v>
      </c>
      <c r="H96" s="136">
        <f t="shared" si="12"/>
        <v>913.800000000002</v>
      </c>
      <c r="I96" s="125">
        <f>C96-D96</f>
        <v>7238.300000000003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5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f>8246.9-50+30.9</f>
        <v>8227.8</v>
      </c>
      <c r="C102" s="70">
        <f>11266.5-91.2+1707.2+14.9</f>
        <v>12897.4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</f>
        <v>6923.799999999999</v>
      </c>
      <c r="E102" s="17">
        <f>D102/D154*100</f>
        <v>0.6925659539586378</v>
      </c>
      <c r="F102" s="17">
        <f>D102/B102*100</f>
        <v>84.15129196139915</v>
      </c>
      <c r="G102" s="17">
        <f aca="true" t="shared" si="14" ref="G102:G152">D102/C102*100</f>
        <v>53.683688185215615</v>
      </c>
      <c r="H102" s="65">
        <f aca="true" t="shared" si="15" ref="H102:H108">B102-D102</f>
        <v>1304</v>
      </c>
      <c r="I102" s="65">
        <f aca="true" t="shared" si="16" ref="I102:I152">C102-D102</f>
        <v>5973.6</v>
      </c>
      <c r="J102" s="94"/>
      <c r="K102" s="153"/>
    </row>
    <row r="103" spans="1:11" s="93" customFormat="1" ht="18.75" customHeight="1">
      <c r="A103" s="102" t="s">
        <v>3</v>
      </c>
      <c r="B103" s="118">
        <v>145.5</v>
      </c>
      <c r="C103" s="119">
        <v>363.8</v>
      </c>
      <c r="D103" s="119">
        <f>31.2+4.8+33.9+5.2</f>
        <v>75.10000000000001</v>
      </c>
      <c r="E103" s="120">
        <f>D103/D102*100</f>
        <v>1.0846644905976488</v>
      </c>
      <c r="F103" s="106">
        <f>D103/B103*100</f>
        <v>51.6151202749141</v>
      </c>
      <c r="G103" s="120">
        <f>D103/C103*100</f>
        <v>20.64321055525014</v>
      </c>
      <c r="H103" s="119">
        <f t="shared" si="15"/>
        <v>70.39999999999999</v>
      </c>
      <c r="I103" s="119">
        <f t="shared" si="16"/>
        <v>288.7</v>
      </c>
      <c r="K103" s="153"/>
    </row>
    <row r="104" spans="1:11" s="93" customFormat="1" ht="18">
      <c r="A104" s="121" t="s">
        <v>48</v>
      </c>
      <c r="B104" s="103">
        <f>7134.4-50+30.9</f>
        <v>7115.299999999999</v>
      </c>
      <c r="C104" s="104">
        <f>8949.2-91.2+1682.1+14.9</f>
        <v>10555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</f>
        <v>6371.6</v>
      </c>
      <c r="E104" s="106">
        <f>D104/D102*100</f>
        <v>92.0246107628759</v>
      </c>
      <c r="F104" s="106">
        <f aca="true" t="shared" si="17" ref="F104:F152">D104/B104*100</f>
        <v>89.54787570446786</v>
      </c>
      <c r="G104" s="106">
        <f t="shared" si="14"/>
        <v>60.365703458076744</v>
      </c>
      <c r="H104" s="104">
        <f t="shared" si="15"/>
        <v>743.6999999999989</v>
      </c>
      <c r="I104" s="104">
        <f t="shared" si="16"/>
        <v>4183.4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967</v>
      </c>
      <c r="C106" s="123">
        <f>C102-C103-C104</f>
        <v>1978.6000000000004</v>
      </c>
      <c r="D106" s="123">
        <f>D102-D103-D104</f>
        <v>477.09999999999854</v>
      </c>
      <c r="E106" s="124">
        <f>D106/D102*100</f>
        <v>6.890724746526454</v>
      </c>
      <c r="F106" s="124">
        <f t="shared" si="17"/>
        <v>49.33815925542901</v>
      </c>
      <c r="G106" s="124">
        <f t="shared" si="14"/>
        <v>24.11300919842305</v>
      </c>
      <c r="H106" s="125">
        <f t="shared" si="15"/>
        <v>489.90000000000146</v>
      </c>
      <c r="I106" s="125">
        <f t="shared" si="16"/>
        <v>1501.5000000000018</v>
      </c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237570.70000000004</v>
      </c>
      <c r="C107" s="67">
        <f>SUM(C108:C151)-C115-C120+C152-C142-C143-C109-C112-C123-C124-C140-C133-C131-C138</f>
        <v>564100.8999999999</v>
      </c>
      <c r="D107" s="67">
        <f>SUM(D108:D151)-D115-D120+D152-D142-D143-D109-D112-D123-D124-D140-D133-D131-D138-D118</f>
        <v>186202.3</v>
      </c>
      <c r="E107" s="68">
        <f>D107/D154*100</f>
        <v>18.625230874489798</v>
      </c>
      <c r="F107" s="68">
        <f>D107/B107*100</f>
        <v>78.37763663616767</v>
      </c>
      <c r="G107" s="68">
        <f t="shared" si="14"/>
        <v>33.008686921080965</v>
      </c>
      <c r="H107" s="67">
        <f t="shared" si="15"/>
        <v>51368.40000000005</v>
      </c>
      <c r="I107" s="67">
        <f t="shared" si="16"/>
        <v>377898.5999999999</v>
      </c>
      <c r="J107" s="113"/>
      <c r="K107" s="153"/>
      <c r="L107" s="96"/>
    </row>
    <row r="108" spans="1:12" s="93" customFormat="1" ht="37.5">
      <c r="A108" s="97" t="s">
        <v>52</v>
      </c>
      <c r="B108" s="161">
        <v>2257.5</v>
      </c>
      <c r="C108" s="158">
        <v>4459</v>
      </c>
      <c r="D108" s="98">
        <f>17.1+81.1+17.3+60.5+173.3+3.4+2+0.4+29.3+1.7+177.1+0.8+38.8+139.8+0.3+1.9+1.8+6.5+136+91.3+0.1+1.8+1.1+2.4+3.5+2+3.4+72.2+73.1+42.5+21.2+13.2+0.2+17.6-34.7+31.4+109.2+11.6+31.6+1.8+1.8</f>
        <v>1387.3999999999994</v>
      </c>
      <c r="E108" s="99">
        <f>D108/D107*100</f>
        <v>0.7451035782049951</v>
      </c>
      <c r="F108" s="99">
        <f t="shared" si="17"/>
        <v>61.45736434108524</v>
      </c>
      <c r="G108" s="99">
        <f t="shared" si="14"/>
        <v>31.114599686028242</v>
      </c>
      <c r="H108" s="100">
        <f t="shared" si="15"/>
        <v>870.1000000000006</v>
      </c>
      <c r="I108" s="100">
        <f t="shared" si="16"/>
        <v>3071.6000000000004</v>
      </c>
      <c r="K108" s="153"/>
      <c r="L108" s="101"/>
    </row>
    <row r="109" spans="1:12" s="93" customFormat="1" ht="18.75">
      <c r="A109" s="102" t="s">
        <v>25</v>
      </c>
      <c r="B109" s="103">
        <v>1000.3</v>
      </c>
      <c r="C109" s="104">
        <v>1995</v>
      </c>
      <c r="D109" s="105">
        <f>47.8+0.9+59.7+88.3+0.1+59.2+38.8+107.4+24+91.1+38+42.5+2+31.4</f>
        <v>631.2</v>
      </c>
      <c r="E109" s="106">
        <f>D109/D108*100</f>
        <v>45.49517082312241</v>
      </c>
      <c r="F109" s="106">
        <f t="shared" si="17"/>
        <v>63.10106967909628</v>
      </c>
      <c r="G109" s="106">
        <f t="shared" si="14"/>
        <v>31.639097744360907</v>
      </c>
      <c r="H109" s="104">
        <f aca="true" t="shared" si="18" ref="H109:H152">B109-D109</f>
        <v>369.0999999999999</v>
      </c>
      <c r="I109" s="104">
        <f t="shared" si="16"/>
        <v>1363.8</v>
      </c>
      <c r="K109" s="153"/>
      <c r="L109" s="101"/>
    </row>
    <row r="110" spans="1:12" s="93" customFormat="1" ht="34.5" customHeight="1" hidden="1">
      <c r="A110" s="107" t="s">
        <v>78</v>
      </c>
      <c r="B110" s="160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2">
        <v>110.9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110.9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9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2">
        <v>46.7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46.7</v>
      </c>
      <c r="I113" s="100">
        <f t="shared" si="16"/>
        <v>64.3</v>
      </c>
      <c r="K113" s="153"/>
      <c r="L113" s="101"/>
    </row>
    <row r="114" spans="1:12" s="93" customFormat="1" ht="37.5">
      <c r="A114" s="107" t="s">
        <v>38</v>
      </c>
      <c r="B114" s="162">
        <v>1699.7</v>
      </c>
      <c r="C114" s="100">
        <v>3311.5</v>
      </c>
      <c r="D114" s="98">
        <f>136.4+10+40+6.6+6.1+0.2+177.4+10+1.8+25.1+29.4+48.1+8.1+193.1+10+0.1+17.8+8.8+132.4+79.7+12.6+4.3+3.5+212.4+8.1+0.4+10.8+218.3</f>
        <v>1411.5</v>
      </c>
      <c r="E114" s="99">
        <f>D114/D107*100</f>
        <v>0.7580464902957698</v>
      </c>
      <c r="F114" s="99">
        <f t="shared" si="17"/>
        <v>83.04406659998823</v>
      </c>
      <c r="G114" s="99">
        <f t="shared" si="14"/>
        <v>42.624188434244296</v>
      </c>
      <c r="H114" s="100">
        <f t="shared" si="18"/>
        <v>288.20000000000005</v>
      </c>
      <c r="I114" s="100">
        <f t="shared" si="16"/>
        <v>1900</v>
      </c>
      <c r="K114" s="153"/>
      <c r="L114" s="101"/>
    </row>
    <row r="115" spans="1:12" s="93" customFormat="1" ht="18.75" hidden="1">
      <c r="A115" s="111" t="s">
        <v>43</v>
      </c>
      <c r="B115" s="159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0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2">
        <v>159</v>
      </c>
      <c r="C117" s="100">
        <v>200</v>
      </c>
      <c r="D117" s="98">
        <f>15+40</f>
        <v>55</v>
      </c>
      <c r="E117" s="99">
        <f>D117/D107*100</f>
        <v>0.029537766182265206</v>
      </c>
      <c r="F117" s="99">
        <f>D117/B117*100</f>
        <v>34.59119496855346</v>
      </c>
      <c r="G117" s="99">
        <f t="shared" si="14"/>
        <v>27.500000000000004</v>
      </c>
      <c r="H117" s="100">
        <f t="shared" si="18"/>
        <v>104</v>
      </c>
      <c r="I117" s="100">
        <f t="shared" si="16"/>
        <v>145</v>
      </c>
      <c r="K117" s="153"/>
      <c r="L117" s="101"/>
    </row>
    <row r="118" spans="1:14" s="93" customFormat="1" ht="18.75">
      <c r="A118" s="111" t="s">
        <v>88</v>
      </c>
      <c r="B118" s="103">
        <v>40</v>
      </c>
      <c r="C118" s="104">
        <v>40</v>
      </c>
      <c r="D118" s="105">
        <v>40</v>
      </c>
      <c r="E118" s="106">
        <f>D118/D117*100</f>
        <v>72.72727272727273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78"/>
      <c r="L118" s="179"/>
      <c r="M118" s="166"/>
      <c r="N118" s="166"/>
    </row>
    <row r="119" spans="1:14" s="113" customFormat="1" ht="18.75">
      <c r="A119" s="107" t="s">
        <v>15</v>
      </c>
      <c r="B119" s="162">
        <v>268.5</v>
      </c>
      <c r="C119" s="108">
        <v>491.6</v>
      </c>
      <c r="D119" s="98">
        <f>45.4+9.9+47+6.4+0.4+0.4+45.4+0.4+2.9+45.4+4+6.8+0.4+45.4+0.1+5.8+0.8+0.4</f>
        <v>267.30000000000007</v>
      </c>
      <c r="E119" s="99">
        <f>D119/D107*100</f>
        <v>0.1435535436458089</v>
      </c>
      <c r="F119" s="99">
        <f t="shared" si="17"/>
        <v>99.55307262569835</v>
      </c>
      <c r="G119" s="99">
        <f t="shared" si="14"/>
        <v>54.373474369406026</v>
      </c>
      <c r="H119" s="100">
        <f t="shared" si="18"/>
        <v>1.1999999999999318</v>
      </c>
      <c r="I119" s="100">
        <f t="shared" si="16"/>
        <v>224.29999999999995</v>
      </c>
      <c r="K119" s="178"/>
      <c r="L119" s="179"/>
      <c r="M119" s="180"/>
      <c r="N119" s="180"/>
    </row>
    <row r="120" spans="1:14" s="114" customFormat="1" ht="18.75">
      <c r="A120" s="111" t="s">
        <v>43</v>
      </c>
      <c r="B120" s="103">
        <v>227.1</v>
      </c>
      <c r="C120" s="104">
        <v>408.8</v>
      </c>
      <c r="D120" s="105">
        <f>45.4+45.4+45.4+45.4+45.4+0.1</f>
        <v>227.1</v>
      </c>
      <c r="E120" s="106">
        <f>D120/D119*100</f>
        <v>84.9607182940516</v>
      </c>
      <c r="F120" s="106">
        <f t="shared" si="17"/>
        <v>100</v>
      </c>
      <c r="G120" s="106">
        <f t="shared" si="14"/>
        <v>55.55283757338552</v>
      </c>
      <c r="H120" s="104">
        <f t="shared" si="18"/>
        <v>0</v>
      </c>
      <c r="I120" s="104">
        <f t="shared" si="16"/>
        <v>181.70000000000002</v>
      </c>
      <c r="K120" s="178"/>
      <c r="L120" s="179"/>
      <c r="M120" s="181"/>
      <c r="N120" s="181"/>
    </row>
    <row r="121" spans="1:14" s="113" customFormat="1" ht="18.75">
      <c r="A121" s="107" t="s">
        <v>105</v>
      </c>
      <c r="B121" s="162">
        <v>125</v>
      </c>
      <c r="C121" s="108">
        <v>317</v>
      </c>
      <c r="D121" s="98">
        <v>3.6</v>
      </c>
      <c r="E121" s="99">
        <f>D121/D107*100</f>
        <v>0.0019333810592028133</v>
      </c>
      <c r="F121" s="99">
        <f t="shared" si="17"/>
        <v>2.88</v>
      </c>
      <c r="G121" s="99">
        <f t="shared" si="14"/>
        <v>1.135646687697161</v>
      </c>
      <c r="H121" s="100">
        <f t="shared" si="18"/>
        <v>121.4</v>
      </c>
      <c r="I121" s="100">
        <f t="shared" si="16"/>
        <v>313.4</v>
      </c>
      <c r="K121" s="178"/>
      <c r="L121" s="179"/>
      <c r="M121" s="180"/>
      <c r="N121" s="180"/>
    </row>
    <row r="122" spans="1:14" s="113" customFormat="1" ht="21.75" customHeight="1">
      <c r="A122" s="107" t="s">
        <v>94</v>
      </c>
      <c r="B122" s="162">
        <f>480-268.6</f>
        <v>211.39999999999998</v>
      </c>
      <c r="C122" s="108">
        <f>480+80</f>
        <v>560</v>
      </c>
      <c r="D122" s="109">
        <f>12</f>
        <v>12</v>
      </c>
      <c r="E122" s="112">
        <f>D122/D107*100</f>
        <v>0.006444603530676044</v>
      </c>
      <c r="F122" s="99">
        <f t="shared" si="17"/>
        <v>5.676442762535478</v>
      </c>
      <c r="G122" s="99">
        <f t="shared" si="14"/>
        <v>2.142857142857143</v>
      </c>
      <c r="H122" s="100">
        <f t="shared" si="18"/>
        <v>199.39999999999998</v>
      </c>
      <c r="I122" s="100">
        <f t="shared" si="16"/>
        <v>548</v>
      </c>
      <c r="K122" s="178"/>
      <c r="L122" s="179"/>
      <c r="M122" s="180"/>
      <c r="N122" s="180"/>
    </row>
    <row r="123" spans="1:14" s="116" customFormat="1" ht="18.75" hidden="1">
      <c r="A123" s="102" t="s">
        <v>80</v>
      </c>
      <c r="B123" s="159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78"/>
      <c r="L123" s="179"/>
      <c r="M123" s="182"/>
      <c r="N123" s="182"/>
    </row>
    <row r="124" spans="1:14" s="116" customFormat="1" ht="18.75" hidden="1">
      <c r="A124" s="102" t="s">
        <v>49</v>
      </c>
      <c r="B124" s="159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78"/>
      <c r="L124" s="179"/>
      <c r="M124" s="182"/>
      <c r="N124" s="182"/>
    </row>
    <row r="125" spans="1:14" s="113" customFormat="1" ht="37.5">
      <c r="A125" s="107" t="s">
        <v>95</v>
      </c>
      <c r="B125" s="162">
        <f>24768.3+1268.6</f>
        <v>26036.899999999998</v>
      </c>
      <c r="C125" s="108">
        <v>45511.3</v>
      </c>
      <c r="D125" s="109">
        <f>3529.6+2264.3+1265.3+2996.5+533.1+738.7+2380.2+1722.3+1049.4+1874.1+1476.2+1455.5+94.4+1416+1268.6+1913.6</f>
        <v>25977.8</v>
      </c>
      <c r="E125" s="112">
        <f>D125/D107*100</f>
        <v>13.951385133266344</v>
      </c>
      <c r="F125" s="99">
        <f t="shared" si="17"/>
        <v>99.7730144525654</v>
      </c>
      <c r="G125" s="99">
        <f t="shared" si="14"/>
        <v>57.07989004928445</v>
      </c>
      <c r="H125" s="100">
        <f t="shared" si="18"/>
        <v>59.099999999998545</v>
      </c>
      <c r="I125" s="100">
        <f t="shared" si="16"/>
        <v>19533.500000000004</v>
      </c>
      <c r="K125" s="178"/>
      <c r="L125" s="179"/>
      <c r="M125" s="180"/>
      <c r="N125" s="180"/>
    </row>
    <row r="126" spans="1:14" s="113" customFormat="1" ht="18.75">
      <c r="A126" s="107" t="s">
        <v>91</v>
      </c>
      <c r="B126" s="162">
        <v>655</v>
      </c>
      <c r="C126" s="108">
        <v>700</v>
      </c>
      <c r="D126" s="109">
        <f>9.6+1.5</f>
        <v>11.1</v>
      </c>
      <c r="E126" s="112">
        <f>D126/D107*100</f>
        <v>0.005961258265875341</v>
      </c>
      <c r="F126" s="99">
        <f t="shared" si="17"/>
        <v>1.6946564885496185</v>
      </c>
      <c r="G126" s="99">
        <f t="shared" si="14"/>
        <v>1.5857142857142859</v>
      </c>
      <c r="H126" s="100">
        <f t="shared" si="18"/>
        <v>643.9</v>
      </c>
      <c r="I126" s="100">
        <f t="shared" si="16"/>
        <v>688.9</v>
      </c>
      <c r="K126" s="178"/>
      <c r="L126" s="179"/>
      <c r="M126" s="180"/>
      <c r="N126" s="180"/>
    </row>
    <row r="127" spans="1:14" s="113" customFormat="1" ht="37.5">
      <c r="A127" s="107" t="s">
        <v>100</v>
      </c>
      <c r="B127" s="162">
        <v>200</v>
      </c>
      <c r="C127" s="108">
        <v>200</v>
      </c>
      <c r="D127" s="109">
        <v>63.1</v>
      </c>
      <c r="E127" s="112">
        <f>D127/D107*100</f>
        <v>0.03388787356547154</v>
      </c>
      <c r="F127" s="99">
        <f t="shared" si="17"/>
        <v>31.55</v>
      </c>
      <c r="G127" s="99">
        <f t="shared" si="14"/>
        <v>31.55</v>
      </c>
      <c r="H127" s="100">
        <f t="shared" si="18"/>
        <v>136.9</v>
      </c>
      <c r="I127" s="100">
        <f t="shared" si="16"/>
        <v>136.9</v>
      </c>
      <c r="K127" s="178"/>
      <c r="L127" s="179"/>
      <c r="M127" s="180"/>
      <c r="N127" s="180"/>
    </row>
    <row r="128" spans="1:14" s="113" customFormat="1" ht="37.5">
      <c r="A128" s="107" t="s">
        <v>85</v>
      </c>
      <c r="B128" s="162">
        <v>74</v>
      </c>
      <c r="C128" s="108">
        <f>111.1</f>
        <v>111.1</v>
      </c>
      <c r="D128" s="109"/>
      <c r="E128" s="112">
        <f>D128/D107*100</f>
        <v>0</v>
      </c>
      <c r="F128" s="99">
        <f t="shared" si="17"/>
        <v>0</v>
      </c>
      <c r="G128" s="99">
        <f t="shared" si="14"/>
        <v>0</v>
      </c>
      <c r="H128" s="100">
        <f t="shared" si="18"/>
        <v>74</v>
      </c>
      <c r="I128" s="100">
        <f t="shared" si="16"/>
        <v>111.1</v>
      </c>
      <c r="K128" s="178"/>
      <c r="L128" s="179"/>
      <c r="M128" s="180"/>
      <c r="N128" s="180"/>
    </row>
    <row r="129" spans="1:14" s="113" customFormat="1" ht="18.75" hidden="1">
      <c r="A129" s="111" t="s">
        <v>83</v>
      </c>
      <c r="B129" s="160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78"/>
      <c r="L129" s="179"/>
      <c r="M129" s="180"/>
      <c r="N129" s="180"/>
    </row>
    <row r="130" spans="1:14" s="113" customFormat="1" ht="37.5">
      <c r="A130" s="107" t="s">
        <v>57</v>
      </c>
      <c r="B130" s="162">
        <v>255.5</v>
      </c>
      <c r="C130" s="108">
        <v>942</v>
      </c>
      <c r="D130" s="109">
        <f>7+4.2+0.1+12.3+0.2+7.1+17.8+14.9+1.7+0.1+7.4+7+2.7+3.7+7.1+5.3+31.3+16.4+2.5+1.7+26.7+0.1+13.8+0.1+2.9+6.5+0.6+7+4.8+0.1+17.3+0.5+7.6-0.1</f>
        <v>238.4</v>
      </c>
      <c r="E130" s="112">
        <f>D130/D107*100</f>
        <v>0.12803279014276409</v>
      </c>
      <c r="F130" s="99">
        <f t="shared" si="17"/>
        <v>93.30724070450098</v>
      </c>
      <c r="G130" s="99">
        <f t="shared" si="14"/>
        <v>25.307855626326965</v>
      </c>
      <c r="H130" s="100">
        <f t="shared" si="18"/>
        <v>17.099999999999994</v>
      </c>
      <c r="I130" s="100">
        <f t="shared" si="16"/>
        <v>703.6</v>
      </c>
      <c r="K130" s="178"/>
      <c r="L130" s="179"/>
      <c r="M130" s="180"/>
      <c r="N130" s="180"/>
    </row>
    <row r="131" spans="1:14" s="114" customFormat="1" ht="18.75">
      <c r="A131" s="102" t="s">
        <v>88</v>
      </c>
      <c r="B131" s="103">
        <v>43.6</v>
      </c>
      <c r="C131" s="104">
        <v>510.8</v>
      </c>
      <c r="D131" s="105">
        <f>7+7.1+7+7.1+7+7</f>
        <v>42.2</v>
      </c>
      <c r="E131" s="106">
        <f>D131/D130*100</f>
        <v>17.701342281879196</v>
      </c>
      <c r="F131" s="106">
        <f>D131/B131*100</f>
        <v>96.78899082568807</v>
      </c>
      <c r="G131" s="106">
        <f t="shared" si="14"/>
        <v>8.261550509005481</v>
      </c>
      <c r="H131" s="104">
        <f t="shared" si="18"/>
        <v>1.3999999999999986</v>
      </c>
      <c r="I131" s="104">
        <f t="shared" si="16"/>
        <v>468.6</v>
      </c>
      <c r="K131" s="178"/>
      <c r="L131" s="179"/>
      <c r="M131" s="181"/>
      <c r="N131" s="181"/>
    </row>
    <row r="132" spans="1:14" s="113" customFormat="1" ht="37.5">
      <c r="A132" s="107" t="s">
        <v>103</v>
      </c>
      <c r="B132" s="162">
        <v>210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210</v>
      </c>
      <c r="I132" s="100">
        <f t="shared" si="16"/>
        <v>485</v>
      </c>
      <c r="K132" s="178"/>
      <c r="L132" s="179"/>
      <c r="M132" s="180"/>
      <c r="N132" s="180"/>
    </row>
    <row r="133" spans="1:14" s="114" customFormat="1" ht="18.75" hidden="1">
      <c r="A133" s="111" t="s">
        <v>43</v>
      </c>
      <c r="B133" s="159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78"/>
      <c r="L133" s="179"/>
      <c r="M133" s="181"/>
      <c r="N133" s="181"/>
    </row>
    <row r="134" spans="1:14" s="113" customFormat="1" ht="35.25" customHeight="1" hidden="1">
      <c r="A134" s="107" t="s">
        <v>102</v>
      </c>
      <c r="B134" s="160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78"/>
      <c r="L134" s="179"/>
      <c r="M134" s="180"/>
      <c r="N134" s="180"/>
    </row>
    <row r="135" spans="1:14" s="113" customFormat="1" ht="21.75" customHeight="1" hidden="1">
      <c r="A135" s="107" t="s">
        <v>101</v>
      </c>
      <c r="B135" s="160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78"/>
      <c r="L135" s="179"/>
      <c r="M135" s="180"/>
      <c r="N135" s="180"/>
    </row>
    <row r="136" spans="1:14" s="113" customFormat="1" ht="35.25" customHeight="1">
      <c r="A136" s="107" t="s">
        <v>87</v>
      </c>
      <c r="B136" s="162">
        <f>175-120</f>
        <v>55</v>
      </c>
      <c r="C136" s="108">
        <v>383.2</v>
      </c>
      <c r="D136" s="109">
        <f>2.9+1.5+9.7+8.2+0.2-0.4+16+13.6</f>
        <v>51.699999999999996</v>
      </c>
      <c r="E136" s="112">
        <f>D136/D107*100</f>
        <v>0.02776550021132929</v>
      </c>
      <c r="F136" s="99">
        <f t="shared" si="17"/>
        <v>94</v>
      </c>
      <c r="G136" s="99">
        <f t="shared" si="14"/>
        <v>13.491649269311065</v>
      </c>
      <c r="H136" s="100">
        <f t="shared" si="18"/>
        <v>3.3000000000000043</v>
      </c>
      <c r="I136" s="100">
        <f t="shared" si="16"/>
        <v>331.5</v>
      </c>
      <c r="K136" s="178"/>
      <c r="L136" s="179"/>
      <c r="M136" s="180"/>
      <c r="N136" s="180"/>
    </row>
    <row r="137" spans="1:14" s="113" customFormat="1" ht="39" customHeight="1">
      <c r="A137" s="107" t="s">
        <v>54</v>
      </c>
      <c r="B137" s="162">
        <v>120</v>
      </c>
      <c r="C137" s="108">
        <v>350</v>
      </c>
      <c r="D137" s="109">
        <f>3.7+1.9+30+0.6</f>
        <v>36.2</v>
      </c>
      <c r="E137" s="112">
        <f>D137/D107*100</f>
        <v>0.019441220650872736</v>
      </c>
      <c r="F137" s="99">
        <f t="shared" si="17"/>
        <v>30.166666666666668</v>
      </c>
      <c r="G137" s="99">
        <f t="shared" si="14"/>
        <v>10.342857142857143</v>
      </c>
      <c r="H137" s="100">
        <f t="shared" si="18"/>
        <v>83.8</v>
      </c>
      <c r="I137" s="100">
        <f t="shared" si="16"/>
        <v>313.8</v>
      </c>
      <c r="K137" s="178"/>
      <c r="L137" s="179"/>
      <c r="M137" s="180"/>
      <c r="N137" s="180"/>
    </row>
    <row r="138" spans="1:14" s="114" customFormat="1" ht="18.75">
      <c r="A138" s="102" t="s">
        <v>88</v>
      </c>
      <c r="B138" s="103">
        <v>38</v>
      </c>
      <c r="C138" s="104">
        <v>110</v>
      </c>
      <c r="D138" s="105">
        <f>3.7+1.9</f>
        <v>5.6</v>
      </c>
      <c r="E138" s="106"/>
      <c r="F138" s="99">
        <f>D138/B138*100</f>
        <v>14.736842105263156</v>
      </c>
      <c r="G138" s="106">
        <f>D138/C138*100</f>
        <v>5.09090909090909</v>
      </c>
      <c r="H138" s="104">
        <f>B138-D138</f>
        <v>32.4</v>
      </c>
      <c r="I138" s="104">
        <f>C138-D138</f>
        <v>104.4</v>
      </c>
      <c r="K138" s="178"/>
      <c r="L138" s="179"/>
      <c r="M138" s="181"/>
      <c r="N138" s="181"/>
    </row>
    <row r="139" spans="1:14" s="113" customFormat="1" ht="32.25" customHeight="1">
      <c r="A139" s="107" t="s">
        <v>84</v>
      </c>
      <c r="B139" s="162">
        <v>345.7</v>
      </c>
      <c r="C139" s="108">
        <v>607.7</v>
      </c>
      <c r="D139" s="109">
        <f>76+0.3+41+44+1.8+16.3+2.4+30+0.6+0.2+27.4+0.2+4.5-0.2+31.4+4.5</f>
        <v>280.40000000000003</v>
      </c>
      <c r="E139" s="112">
        <f>D139/D107*100</f>
        <v>0.15058890250013024</v>
      </c>
      <c r="F139" s="99">
        <f>D139/B139*100</f>
        <v>81.11078970205382</v>
      </c>
      <c r="G139" s="99">
        <f>D139/C139*100</f>
        <v>46.14118808622676</v>
      </c>
      <c r="H139" s="100">
        <f t="shared" si="18"/>
        <v>65.29999999999995</v>
      </c>
      <c r="I139" s="100">
        <f t="shared" si="16"/>
        <v>327.3</v>
      </c>
      <c r="K139" s="178"/>
      <c r="L139" s="179"/>
      <c r="M139" s="180"/>
      <c r="N139" s="180"/>
    </row>
    <row r="140" spans="1:14" s="114" customFormat="1" ht="18.75">
      <c r="A140" s="102" t="s">
        <v>25</v>
      </c>
      <c r="B140" s="103">
        <v>283.8</v>
      </c>
      <c r="C140" s="104">
        <v>489.6</v>
      </c>
      <c r="D140" s="105">
        <f>76+37.6+44+1.2+0.7+30+27.4+30.6</f>
        <v>247.49999999999997</v>
      </c>
      <c r="E140" s="106">
        <f>D140/D139*100</f>
        <v>88.26676176890155</v>
      </c>
      <c r="F140" s="106">
        <f t="shared" si="17"/>
        <v>87.20930232558139</v>
      </c>
      <c r="G140" s="106">
        <f>D140/C140*100</f>
        <v>50.55147058823528</v>
      </c>
      <c r="H140" s="104">
        <f t="shared" si="18"/>
        <v>36.30000000000004</v>
      </c>
      <c r="I140" s="104">
        <f t="shared" si="16"/>
        <v>242.10000000000005</v>
      </c>
      <c r="K140" s="178"/>
      <c r="L140" s="179"/>
      <c r="M140" s="181"/>
      <c r="N140" s="181"/>
    </row>
    <row r="141" spans="1:14" s="113" customFormat="1" ht="18.75">
      <c r="A141" s="107" t="s">
        <v>96</v>
      </c>
      <c r="B141" s="162">
        <v>892</v>
      </c>
      <c r="C141" s="108">
        <v>1760</v>
      </c>
      <c r="D141" s="109">
        <f>107.3+0.4+30.4+78.2+4.1+36.9+117.9+50.5+112.6+5.2+52.3+10.5+76.8-0.2+10.4+82.9+84</f>
        <v>860.1999999999999</v>
      </c>
      <c r="E141" s="112">
        <f>D141/D107*100</f>
        <v>0.4619706630906278</v>
      </c>
      <c r="F141" s="99">
        <f t="shared" si="17"/>
        <v>96.43497757847534</v>
      </c>
      <c r="G141" s="99">
        <f t="shared" si="14"/>
        <v>48.87499999999999</v>
      </c>
      <c r="H141" s="100">
        <f t="shared" si="18"/>
        <v>31.800000000000068</v>
      </c>
      <c r="I141" s="100">
        <f t="shared" si="16"/>
        <v>899.8000000000001</v>
      </c>
      <c r="K141" s="178"/>
      <c r="L141" s="179"/>
      <c r="M141" s="180"/>
      <c r="N141" s="180"/>
    </row>
    <row r="142" spans="1:14" s="114" customFormat="1" ht="18.75">
      <c r="A142" s="111" t="s">
        <v>43</v>
      </c>
      <c r="B142" s="103">
        <v>713.6</v>
      </c>
      <c r="C142" s="104">
        <v>1437.4</v>
      </c>
      <c r="D142" s="105">
        <f>107.3+25.4+76+34+76.6+47.2+83.8+4.5+35.4+76.8-0.2+60.7+81</f>
        <v>708.4999999999999</v>
      </c>
      <c r="E142" s="106">
        <f>D142/D141*100</f>
        <v>82.36456637991164</v>
      </c>
      <c r="F142" s="106">
        <f aca="true" t="shared" si="19" ref="F142:F151">D142/B142*100</f>
        <v>99.28531390134528</v>
      </c>
      <c r="G142" s="106">
        <f t="shared" si="14"/>
        <v>49.29038541811603</v>
      </c>
      <c r="H142" s="104">
        <f t="shared" si="18"/>
        <v>5.100000000000136</v>
      </c>
      <c r="I142" s="104">
        <f t="shared" si="16"/>
        <v>728.9000000000002</v>
      </c>
      <c r="K142" s="178"/>
      <c r="L142" s="179"/>
      <c r="M142" s="181"/>
      <c r="N142" s="181"/>
    </row>
    <row r="143" spans="1:14" s="114" customFormat="1" ht="18.75">
      <c r="A143" s="102" t="s">
        <v>25</v>
      </c>
      <c r="B143" s="103">
        <v>27.2</v>
      </c>
      <c r="C143" s="104">
        <v>40</v>
      </c>
      <c r="D143" s="105">
        <f>0.4+4.9+0.7+4.7+3.3+0.4+0.7+0.6+0.1</f>
        <v>15.799999999999999</v>
      </c>
      <c r="E143" s="106">
        <f>D143/D141*100</f>
        <v>1.8367821436875147</v>
      </c>
      <c r="F143" s="106">
        <f t="shared" si="19"/>
        <v>58.08823529411764</v>
      </c>
      <c r="G143" s="106">
        <f>D143/C143*100</f>
        <v>39.49999999999999</v>
      </c>
      <c r="H143" s="104">
        <f t="shared" si="18"/>
        <v>11.4</v>
      </c>
      <c r="I143" s="104">
        <f t="shared" si="16"/>
        <v>24.200000000000003</v>
      </c>
      <c r="K143" s="178"/>
      <c r="L143" s="179"/>
      <c r="M143" s="183"/>
      <c r="N143" s="181"/>
    </row>
    <row r="144" spans="1:14" s="113" customFormat="1" ht="33.75" customHeight="1">
      <c r="A144" s="117" t="s">
        <v>56</v>
      </c>
      <c r="B144" s="162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0.28705338226219546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K144" s="178"/>
      <c r="L144" s="179"/>
      <c r="M144" s="180"/>
      <c r="N144" s="180"/>
    </row>
    <row r="145" spans="1:14" s="113" customFormat="1" ht="18.75" hidden="1">
      <c r="A145" s="117" t="s">
        <v>92</v>
      </c>
      <c r="B145" s="160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K145" s="178"/>
      <c r="L145" s="179"/>
      <c r="M145" s="180"/>
      <c r="N145" s="180"/>
    </row>
    <row r="146" spans="1:14" s="113" customFormat="1" ht="18.75">
      <c r="A146" s="117" t="s">
        <v>97</v>
      </c>
      <c r="B146" s="162">
        <f>22821.5-1011+1000+2399+1817.8</f>
        <v>27027.3</v>
      </c>
      <c r="C146" s="108">
        <f>56447.1-100+1500-3000+10865.4</f>
        <v>65712.5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</f>
        <v>25104.600000000002</v>
      </c>
      <c r="E146" s="112">
        <f>D146/D107*100</f>
        <v>13.48243281635082</v>
      </c>
      <c r="F146" s="99">
        <f t="shared" si="19"/>
        <v>92.88608185057332</v>
      </c>
      <c r="G146" s="99">
        <f t="shared" si="14"/>
        <v>38.20369031767168</v>
      </c>
      <c r="H146" s="100">
        <f t="shared" si="18"/>
        <v>1922.699999999997</v>
      </c>
      <c r="I146" s="100">
        <f t="shared" si="16"/>
        <v>40607.899999999994</v>
      </c>
      <c r="K146" s="178"/>
      <c r="L146" s="179"/>
      <c r="M146" s="180"/>
      <c r="N146" s="180"/>
    </row>
    <row r="147" spans="1:14" s="113" customFormat="1" ht="18.75" hidden="1">
      <c r="A147" s="117" t="s">
        <v>86</v>
      </c>
      <c r="B147" s="160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K147" s="178"/>
      <c r="L147" s="179"/>
      <c r="M147" s="180"/>
      <c r="N147" s="180"/>
    </row>
    <row r="148" spans="1:14" s="113" customFormat="1" ht="37.5" hidden="1">
      <c r="A148" s="117" t="s">
        <v>104</v>
      </c>
      <c r="B148" s="160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K148" s="178"/>
      <c r="L148" s="179"/>
      <c r="M148" s="180"/>
      <c r="N148" s="180"/>
    </row>
    <row r="149" spans="1:14" s="113" customFormat="1" ht="18.75">
      <c r="A149" s="107" t="s">
        <v>98</v>
      </c>
      <c r="B149" s="162">
        <v>89.4</v>
      </c>
      <c r="C149" s="108">
        <v>162.3</v>
      </c>
      <c r="D149" s="109">
        <f>46.4+43</f>
        <v>89.4</v>
      </c>
      <c r="E149" s="112">
        <f>D149/D107*100</f>
        <v>0.04801229630353654</v>
      </c>
      <c r="F149" s="99">
        <f t="shared" si="19"/>
        <v>100</v>
      </c>
      <c r="G149" s="99">
        <f t="shared" si="14"/>
        <v>55.08317929759704</v>
      </c>
      <c r="H149" s="100">
        <f t="shared" si="18"/>
        <v>0</v>
      </c>
      <c r="I149" s="100">
        <f t="shared" si="16"/>
        <v>72.9</v>
      </c>
      <c r="K149" s="178"/>
      <c r="L149" s="179"/>
      <c r="M149" s="180"/>
      <c r="N149" s="180"/>
    </row>
    <row r="150" spans="1:14" s="113" customFormat="1" ht="18" customHeight="1">
      <c r="A150" s="107" t="s">
        <v>77</v>
      </c>
      <c r="B150" s="162">
        <v>6260.2</v>
      </c>
      <c r="C150" s="108">
        <f>10563.8+657.7</f>
        <v>11221.5</v>
      </c>
      <c r="D150" s="109">
        <f>791.9+575.3+777.6+830.9+722.1+47.7+657.7+821-47.6+744.9</f>
        <v>5921.499999999999</v>
      </c>
      <c r="E150" s="112">
        <f>D150/D107*100</f>
        <v>3.1801433172415163</v>
      </c>
      <c r="F150" s="99">
        <f t="shared" si="19"/>
        <v>94.58962972428995</v>
      </c>
      <c r="G150" s="99">
        <f t="shared" si="14"/>
        <v>52.76923762420353</v>
      </c>
      <c r="H150" s="100">
        <f t="shared" si="18"/>
        <v>338.7000000000007</v>
      </c>
      <c r="I150" s="100">
        <f t="shared" si="16"/>
        <v>5300.000000000001</v>
      </c>
      <c r="K150" s="178"/>
      <c r="L150" s="179"/>
      <c r="M150" s="180"/>
      <c r="N150" s="180"/>
    </row>
    <row r="151" spans="1:14" s="113" customFormat="1" ht="19.5" customHeight="1">
      <c r="A151" s="147" t="s">
        <v>50</v>
      </c>
      <c r="B151" s="164">
        <f>151473.2+1011+432.7+12+24.2-2399-1823.8</f>
        <v>148730.30000000005</v>
      </c>
      <c r="C151" s="148">
        <f>350771.5+40351.1-7680.2+12</f>
        <v>383454.39999999997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</f>
        <v>103953.5</v>
      </c>
      <c r="E151" s="150">
        <f>D151/D107*100</f>
        <v>55.828257760511015</v>
      </c>
      <c r="F151" s="151">
        <f t="shared" si="19"/>
        <v>69.89396242729286</v>
      </c>
      <c r="G151" s="151">
        <f t="shared" si="14"/>
        <v>27.10974238397056</v>
      </c>
      <c r="H151" s="152">
        <f t="shared" si="18"/>
        <v>44776.80000000005</v>
      </c>
      <c r="I151" s="152">
        <f>C151-D151</f>
        <v>279500.89999999997</v>
      </c>
      <c r="K151" s="178"/>
      <c r="L151" s="179"/>
      <c r="M151" s="180"/>
      <c r="N151" s="180"/>
    </row>
    <row r="152" spans="1:14" s="113" customFormat="1" ht="18.75">
      <c r="A152" s="107" t="s">
        <v>99</v>
      </c>
      <c r="B152" s="162">
        <v>21116.2</v>
      </c>
      <c r="C152" s="108">
        <v>42232</v>
      </c>
      <c r="D152" s="109">
        <f>819+819+819.1+1062.3+1173.1+1173.1+1173.2+1173.1+1173.1+1173.2+1173.1+1173.1+1173.2+1173.1+1173.1+1173.1+1173.1+1173.1</f>
        <v>19943.1</v>
      </c>
      <c r="E152" s="112">
        <f>D152/D107*100</f>
        <v>10.710447722718785</v>
      </c>
      <c r="F152" s="99">
        <f t="shared" si="17"/>
        <v>94.44454968223448</v>
      </c>
      <c r="G152" s="99">
        <f t="shared" si="14"/>
        <v>47.22272210645955</v>
      </c>
      <c r="H152" s="100">
        <f t="shared" si="18"/>
        <v>1173.1000000000022</v>
      </c>
      <c r="I152" s="100">
        <f t="shared" si="16"/>
        <v>22288.9</v>
      </c>
      <c r="K152" s="178"/>
      <c r="L152" s="179"/>
      <c r="M152" s="180"/>
      <c r="N152" s="180"/>
    </row>
    <row r="153" spans="1:14" s="2" customFormat="1" ht="19.5" thickBot="1">
      <c r="A153" s="29" t="s">
        <v>29</v>
      </c>
      <c r="B153" s="163"/>
      <c r="C153" s="63"/>
      <c r="D153" s="44">
        <f>D43+D69+D72+D77+D79+D87+D102+D107+D100+D84+D98</f>
        <v>193840.09999999998</v>
      </c>
      <c r="E153" s="15"/>
      <c r="F153" s="15"/>
      <c r="G153" s="6"/>
      <c r="H153" s="52"/>
      <c r="I153" s="44"/>
      <c r="K153" s="178"/>
      <c r="L153" s="184"/>
      <c r="M153" s="180"/>
      <c r="N153" s="180"/>
    </row>
    <row r="154" spans="1:14" ht="19.5" thickBot="1">
      <c r="A154" s="12" t="s">
        <v>18</v>
      </c>
      <c r="B154" s="40">
        <f>B6+B18+B33+B43+B51+B59+B69+B72+B77+B79+B87+B90+B95+B102+B107+B100+B84+B98+B45</f>
        <v>1110041.4</v>
      </c>
      <c r="C154" s="40">
        <f>C6+C18+C33+C43+C51+C59+C69+C72+C77+C79+C87+C90+C95+C102+C107+C100+C84+C98+C45</f>
        <v>2166963.5999999996</v>
      </c>
      <c r="D154" s="40">
        <f>D6+D18+D33+D43+D51+D59+D69+D72+D77+D79+D87+D90+D95+D102+D107+D100+D84+D98+D45</f>
        <v>999731.5</v>
      </c>
      <c r="E154" s="28">
        <v>100</v>
      </c>
      <c r="F154" s="3">
        <f>D154/B154*100</f>
        <v>90.06254181150362</v>
      </c>
      <c r="G154" s="3">
        <f aca="true" t="shared" si="20" ref="G154:G160">D154/C154*100</f>
        <v>46.13513120386518</v>
      </c>
      <c r="H154" s="40">
        <f aca="true" t="shared" si="21" ref="H154:H160">B154-D154</f>
        <v>110309.8999999999</v>
      </c>
      <c r="I154" s="40">
        <f aca="true" t="shared" si="22" ref="I154:I160">C154-D154</f>
        <v>1167232.0999999996</v>
      </c>
      <c r="K154" s="185"/>
      <c r="L154" s="186"/>
      <c r="M154" s="166"/>
      <c r="N154" s="166"/>
    </row>
    <row r="155" spans="1:14" ht="18.75">
      <c r="A155" s="16" t="s">
        <v>5</v>
      </c>
      <c r="B155" s="51">
        <f>B8+B20+B34+B52+B60+B91+B115+B120+B46+B142+B133+B103</f>
        <v>509584</v>
      </c>
      <c r="C155" s="51">
        <f>C8+C20+C34+C52+C60+C91+C115+C120+C46+C142+C133+C103</f>
        <v>896180.8</v>
      </c>
      <c r="D155" s="51">
        <f>D8+D20+D34+D52+D60+D91+D115+D120+D46+D142+D133+D103</f>
        <v>489425.51000000007</v>
      </c>
      <c r="E155" s="6">
        <f>D155/D154*100</f>
        <v>48.955695604269756</v>
      </c>
      <c r="F155" s="6">
        <f aca="true" t="shared" si="23" ref="F155:F160">D155/B155*100</f>
        <v>96.04412815159034</v>
      </c>
      <c r="G155" s="6">
        <f t="shared" si="20"/>
        <v>54.612362817859974</v>
      </c>
      <c r="H155" s="52">
        <f t="shared" si="21"/>
        <v>20158.489999999932</v>
      </c>
      <c r="I155" s="62">
        <f t="shared" si="22"/>
        <v>406755.29</v>
      </c>
      <c r="K155" s="178"/>
      <c r="L155" s="186"/>
      <c r="M155" s="166"/>
      <c r="N155" s="166"/>
    </row>
    <row r="156" spans="1:14" ht="18.75">
      <c r="A156" s="16" t="s">
        <v>0</v>
      </c>
      <c r="B156" s="52">
        <f>B11+B23+B36+B55+B62+B92+B49+B143+B109+B112+B96+B140+B129</f>
        <v>63920.59999999999</v>
      </c>
      <c r="C156" s="52">
        <f>C11+C23+C36+C55+C62+C92+C49+C143+C109+C112+C96+C140+C129</f>
        <v>110563.99999999999</v>
      </c>
      <c r="D156" s="52">
        <f>D11+D23+D36+D55+D62+D92+D49+D143+D109+D112+D96+D140+D129</f>
        <v>60759.69999999998</v>
      </c>
      <c r="E156" s="6">
        <f>D156/D154*100</f>
        <v>6.077601836092989</v>
      </c>
      <c r="F156" s="6">
        <f t="shared" si="23"/>
        <v>95.0549588082715</v>
      </c>
      <c r="G156" s="6">
        <f t="shared" si="20"/>
        <v>54.95432509677652</v>
      </c>
      <c r="H156" s="52">
        <f>B156-D156</f>
        <v>3160.9000000000087</v>
      </c>
      <c r="I156" s="62">
        <f t="shared" si="22"/>
        <v>49804.3</v>
      </c>
      <c r="K156" s="178"/>
      <c r="L156" s="187"/>
      <c r="M156" s="166"/>
      <c r="N156" s="166"/>
    </row>
    <row r="157" spans="1:12" ht="18.75">
      <c r="A157" s="16" t="s">
        <v>1</v>
      </c>
      <c r="B157" s="51">
        <f>B22+B10+B54+B48+B61+B35+B124</f>
        <v>24626.999999999996</v>
      </c>
      <c r="C157" s="51">
        <f>C22+C10+C54+C48+C61+C35+C124</f>
        <v>45948.3</v>
      </c>
      <c r="D157" s="51">
        <f>D22+D10+D54+D48+D61+D35+D124</f>
        <v>15524.499999999995</v>
      </c>
      <c r="E157" s="6">
        <f>D157/D154*100</f>
        <v>1.5528669447746715</v>
      </c>
      <c r="F157" s="6">
        <f t="shared" si="23"/>
        <v>63.038534941324556</v>
      </c>
      <c r="G157" s="6">
        <f t="shared" si="20"/>
        <v>33.78688656598828</v>
      </c>
      <c r="H157" s="52">
        <f t="shared" si="21"/>
        <v>9102.500000000002</v>
      </c>
      <c r="I157" s="62">
        <f t="shared" si="22"/>
        <v>30423.80000000001</v>
      </c>
      <c r="K157" s="153"/>
      <c r="L157" s="33"/>
    </row>
    <row r="158" spans="1:12" ht="21" customHeight="1">
      <c r="A158" s="16" t="s">
        <v>14</v>
      </c>
      <c r="B158" s="51">
        <f>B12+B24+B104+B63+B38+B93+B131+B56+B138+B118</f>
        <v>16083.800000000001</v>
      </c>
      <c r="C158" s="51">
        <f>C12+C24+C104+C63+C38+C93+C131+C56+C138+C118</f>
        <v>30229.899999999998</v>
      </c>
      <c r="D158" s="51">
        <f>D12+D24+D104+D63+D38+D93+D131+D56+D138+D118</f>
        <v>13621.2</v>
      </c>
      <c r="E158" s="6">
        <f>D158/D154*100</f>
        <v>1.362485827444669</v>
      </c>
      <c r="F158" s="6">
        <f t="shared" si="23"/>
        <v>84.68894166801377</v>
      </c>
      <c r="G158" s="6">
        <f t="shared" si="20"/>
        <v>45.058700161098784</v>
      </c>
      <c r="H158" s="52">
        <f>B158-D158</f>
        <v>2462.6000000000004</v>
      </c>
      <c r="I158" s="62">
        <f t="shared" si="22"/>
        <v>16608.699999999997</v>
      </c>
      <c r="K158" s="153"/>
      <c r="L158" s="69"/>
    </row>
    <row r="159" spans="1:12" ht="18.75">
      <c r="A159" s="16" t="s">
        <v>2</v>
      </c>
      <c r="B159" s="51">
        <f>B9+B21+B47+B53+B123</f>
        <v>31.6</v>
      </c>
      <c r="C159" s="51">
        <f>C9+C21+C47+C53+C123</f>
        <v>113.10000000000001</v>
      </c>
      <c r="D159" s="51">
        <f>D9+D21+D47+D53+D123</f>
        <v>21.3</v>
      </c>
      <c r="E159" s="6">
        <f>D159/D154*100</f>
        <v>0.0021305720585977333</v>
      </c>
      <c r="F159" s="6">
        <f t="shared" si="23"/>
        <v>67.40506329113924</v>
      </c>
      <c r="G159" s="6">
        <f t="shared" si="20"/>
        <v>18.83289124668435</v>
      </c>
      <c r="H159" s="52">
        <f t="shared" si="21"/>
        <v>10.3</v>
      </c>
      <c r="I159" s="62">
        <f t="shared" si="22"/>
        <v>91.80000000000001</v>
      </c>
      <c r="K159" s="153"/>
      <c r="L159" s="33"/>
    </row>
    <row r="160" spans="1:12" ht="19.5" thickBot="1">
      <c r="A160" s="88" t="s">
        <v>27</v>
      </c>
      <c r="B160" s="64">
        <f>B154-B155-B156-B157-B158-B159</f>
        <v>495794.39999999997</v>
      </c>
      <c r="C160" s="64">
        <f>C154-C155-C156-C157-C158-C159</f>
        <v>1083927.4999999995</v>
      </c>
      <c r="D160" s="64">
        <f>D154-D155-D156-D157-D158-D159</f>
        <v>420379.2899999999</v>
      </c>
      <c r="E160" s="31">
        <f>D160/D154*100</f>
        <v>42.049219215359315</v>
      </c>
      <c r="F160" s="31">
        <f t="shared" si="23"/>
        <v>84.78903553569785</v>
      </c>
      <c r="G160" s="31">
        <f t="shared" si="20"/>
        <v>38.78297118580349</v>
      </c>
      <c r="H160" s="89">
        <f t="shared" si="21"/>
        <v>75415.11000000004</v>
      </c>
      <c r="I160" s="89">
        <f t="shared" si="22"/>
        <v>663548.2099999996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3"/>
      <c r="G165" s="18"/>
      <c r="H165" s="18"/>
    </row>
    <row r="166" spans="2:8" ht="12.75">
      <c r="B166" s="156"/>
      <c r="C166" s="157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2166963.5999999996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999731.5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2166963.5999999996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999731.5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2018-06-23T09:07:26Z</cp:lastPrinted>
  <dcterms:created xsi:type="dcterms:W3CDTF">2000-06-20T04:48:00Z</dcterms:created>
  <dcterms:modified xsi:type="dcterms:W3CDTF">2018-06-26T05:45:13Z</dcterms:modified>
  <cp:category/>
  <cp:version/>
  <cp:contentType/>
  <cp:contentStatus/>
</cp:coreProperties>
</file>